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workbookProtection workbookPassword="90CC" lockStructure="1"/>
  <bookViews>
    <workbookView xWindow="0" yWindow="0" windowWidth="21645" windowHeight="9105"/>
  </bookViews>
  <sheets>
    <sheet name="KINVARO" sheetId="4" r:id="rId1"/>
    <sheet name="Daten" sheetId="1" state="hidden" r:id="rId2"/>
    <sheet name="Industrieverpackung" sheetId="8" state="hidden" r:id="rId3"/>
    <sheet name="Sprache" sheetId="2" state="hidden" r:id="rId4"/>
    <sheet name="Material" sheetId="7" state="hidden" r:id="rId5"/>
    <sheet name="Limits" sheetId="3" state="veryHidden" r:id="rId6"/>
    <sheet name="S1" sheetId="5" r:id="rId7"/>
    <sheet name="S2" sheetId="6" r:id="rId8"/>
  </sheets>
  <definedNames>
    <definedName name="_xlnm._FilterDatabase" localSheetId="1" hidden="1">Daten!$P$1:$AR$809</definedName>
    <definedName name="test">KINVARO!#REF!</definedName>
    <definedName name="_xlnm.Print_Area" localSheetId="0">KINVARO!$B$2:$BQ$62</definedName>
    <definedName name="_xlnm.Print_Area" localSheetId="6">'S1'!$B$2:$N$43</definedName>
    <definedName name="_xlnm.Print_Area" localSheetId="7">'S2'!$B$2:$N$27</definedName>
  </definedNames>
  <calcPr calcId="162913"/>
</workbook>
</file>

<file path=xl/calcChain.xml><?xml version="1.0" encoding="utf-8"?>
<calcChain xmlns="http://schemas.openxmlformats.org/spreadsheetml/2006/main">
  <c r="D165" i="1" l="1"/>
  <c r="D164" i="1"/>
  <c r="D163" i="1"/>
  <c r="D162" i="1"/>
  <c r="D161" i="1"/>
  <c r="D160" i="1"/>
  <c r="D159" i="1"/>
  <c r="D158" i="1"/>
  <c r="D117" i="1"/>
  <c r="D116" i="1"/>
  <c r="D115" i="1"/>
  <c r="D114" i="1"/>
  <c r="D113" i="1"/>
  <c r="D112" i="1"/>
  <c r="D111" i="1"/>
  <c r="D110" i="1"/>
  <c r="D83" i="1"/>
  <c r="D82" i="1"/>
  <c r="D81" i="1"/>
  <c r="D80" i="1"/>
  <c r="D109" i="1"/>
  <c r="D108" i="1"/>
  <c r="D107" i="1"/>
  <c r="D106" i="1"/>
  <c r="D79" i="1"/>
  <c r="D84" i="1"/>
  <c r="B52" i="8" l="1"/>
  <c r="C52" i="8"/>
  <c r="D52" i="8"/>
  <c r="B51" i="8"/>
  <c r="C51" i="8"/>
  <c r="D51" i="8"/>
  <c r="B50" i="8"/>
  <c r="C50" i="8"/>
  <c r="D50" i="8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A157" i="2"/>
  <c r="E21" i="4" s="1"/>
  <c r="A158" i="2"/>
  <c r="BO21" i="4" s="1"/>
  <c r="A159" i="2"/>
  <c r="K21" i="4" s="1"/>
  <c r="A160" i="2"/>
  <c r="A156" i="2"/>
  <c r="D19" i="4" s="1"/>
  <c r="A178" i="2"/>
  <c r="G16" i="8" s="1"/>
  <c r="A179" i="2"/>
  <c r="G17" i="8" s="1"/>
  <c r="A180" i="2"/>
  <c r="G18" i="8" s="1"/>
  <c r="A181" i="2"/>
  <c r="G19" i="8" s="1"/>
  <c r="A182" i="2"/>
  <c r="G20" i="8" s="1"/>
  <c r="A183" i="2"/>
  <c r="G21" i="8" s="1"/>
  <c r="A184" i="2"/>
  <c r="G22" i="8" s="1"/>
  <c r="A185" i="2"/>
  <c r="G23" i="8" s="1"/>
  <c r="A186" i="2"/>
  <c r="G24" i="8" s="1"/>
  <c r="A187" i="2"/>
  <c r="G25" i="8" s="1"/>
  <c r="A188" i="2"/>
  <c r="G26" i="8" s="1"/>
  <c r="A189" i="2"/>
  <c r="G27" i="8" s="1"/>
  <c r="A190" i="2"/>
  <c r="G28" i="8" s="1"/>
  <c r="A191" i="2"/>
  <c r="G29" i="8" s="1"/>
  <c r="A192" i="2"/>
  <c r="G30" i="8" s="1"/>
  <c r="A193" i="2"/>
  <c r="G31" i="8" s="1"/>
  <c r="A194" i="2"/>
  <c r="G32" i="8" s="1"/>
  <c r="A195" i="2"/>
  <c r="G33" i="8" s="1"/>
  <c r="A196" i="2"/>
  <c r="G34" i="8" s="1"/>
  <c r="A197" i="2"/>
  <c r="G35" i="8" s="1"/>
  <c r="A198" i="2"/>
  <c r="G36" i="8" s="1"/>
  <c r="A199" i="2"/>
  <c r="G37" i="8" s="1"/>
  <c r="A200" i="2"/>
  <c r="G38" i="8" s="1"/>
  <c r="A201" i="2"/>
  <c r="G39" i="8" s="1"/>
  <c r="A202" i="2"/>
  <c r="G40" i="8" s="1"/>
  <c r="A203" i="2"/>
  <c r="G41" i="8" s="1"/>
  <c r="A204" i="2"/>
  <c r="G42" i="8" s="1"/>
  <c r="A205" i="2"/>
  <c r="G43" i="8" s="1"/>
  <c r="A206" i="2"/>
  <c r="G44" i="8" s="1"/>
  <c r="A207" i="2"/>
  <c r="G45" i="8" s="1"/>
  <c r="A208" i="2"/>
  <c r="G46" i="8" s="1"/>
  <c r="A209" i="2"/>
  <c r="G47" i="8" s="1"/>
  <c r="A210" i="2"/>
  <c r="G48" i="8" s="1"/>
  <c r="A211" i="2"/>
  <c r="G49" i="8" s="1"/>
  <c r="A212" i="2"/>
  <c r="G50" i="8" s="1"/>
  <c r="A213" i="2"/>
  <c r="G51" i="8" s="1"/>
  <c r="A214" i="2"/>
  <c r="G52" i="8" s="1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B2" i="8" l="1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D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AQ165" i="1"/>
  <c r="P165" i="1" s="1"/>
  <c r="AJ165" i="1"/>
  <c r="AI165" i="1"/>
  <c r="AH165" i="1"/>
  <c r="AG165" i="1"/>
  <c r="AF165" i="1"/>
  <c r="Q165" i="1"/>
  <c r="N165" i="1"/>
  <c r="G165" i="1" s="1"/>
  <c r="M165" i="1"/>
  <c r="H165" i="1" s="1"/>
  <c r="L165" i="1"/>
  <c r="I165" i="1" s="1"/>
  <c r="K165" i="1"/>
  <c r="J165" i="1" s="1"/>
  <c r="AQ164" i="1"/>
  <c r="P164" i="1" s="1"/>
  <c r="AJ164" i="1"/>
  <c r="AI164" i="1"/>
  <c r="AH164" i="1"/>
  <c r="AG164" i="1"/>
  <c r="AF164" i="1"/>
  <c r="Q164" i="1"/>
  <c r="N164" i="1"/>
  <c r="G164" i="1" s="1"/>
  <c r="M164" i="1"/>
  <c r="H164" i="1" s="1"/>
  <c r="L164" i="1"/>
  <c r="I164" i="1" s="1"/>
  <c r="K164" i="1"/>
  <c r="J164" i="1" s="1"/>
  <c r="AQ163" i="1"/>
  <c r="P163" i="1" s="1"/>
  <c r="AJ163" i="1"/>
  <c r="AI163" i="1"/>
  <c r="AH163" i="1"/>
  <c r="AG163" i="1"/>
  <c r="AF163" i="1"/>
  <c r="Q163" i="1"/>
  <c r="AQ162" i="1"/>
  <c r="P162" i="1" s="1"/>
  <c r="AJ162" i="1"/>
  <c r="AI162" i="1"/>
  <c r="AH162" i="1"/>
  <c r="AG162" i="1"/>
  <c r="AF162" i="1"/>
  <c r="Q162" i="1"/>
  <c r="AQ161" i="1"/>
  <c r="P161" i="1" s="1"/>
  <c r="AJ161" i="1"/>
  <c r="AI161" i="1"/>
  <c r="AH161" i="1"/>
  <c r="AG161" i="1"/>
  <c r="AF161" i="1"/>
  <c r="Q161" i="1"/>
  <c r="N161" i="1"/>
  <c r="G161" i="1" s="1"/>
  <c r="M161" i="1"/>
  <c r="H161" i="1" s="1"/>
  <c r="L161" i="1"/>
  <c r="I161" i="1" s="1"/>
  <c r="K161" i="1"/>
  <c r="J161" i="1" s="1"/>
  <c r="AQ160" i="1"/>
  <c r="P160" i="1" s="1"/>
  <c r="AJ160" i="1"/>
  <c r="AI160" i="1"/>
  <c r="AH160" i="1"/>
  <c r="AG160" i="1"/>
  <c r="AF160" i="1"/>
  <c r="Q160" i="1"/>
  <c r="N160" i="1"/>
  <c r="G160" i="1" s="1"/>
  <c r="M160" i="1"/>
  <c r="H160" i="1" s="1"/>
  <c r="L160" i="1"/>
  <c r="I160" i="1" s="1"/>
  <c r="K160" i="1"/>
  <c r="J160" i="1" s="1"/>
  <c r="AQ159" i="1"/>
  <c r="P159" i="1" s="1"/>
  <c r="AJ159" i="1"/>
  <c r="AI159" i="1"/>
  <c r="AH159" i="1"/>
  <c r="AG159" i="1"/>
  <c r="AF159" i="1"/>
  <c r="Q159" i="1"/>
  <c r="AQ158" i="1"/>
  <c r="P158" i="1" s="1"/>
  <c r="AJ158" i="1"/>
  <c r="AI158" i="1"/>
  <c r="AH158" i="1"/>
  <c r="AG158" i="1"/>
  <c r="AF158" i="1"/>
  <c r="Q158" i="1"/>
  <c r="AQ117" i="1"/>
  <c r="P117" i="1" s="1"/>
  <c r="AQ116" i="1"/>
  <c r="P116" i="1" s="1"/>
  <c r="AQ115" i="1"/>
  <c r="P115" i="1" s="1"/>
  <c r="AQ114" i="1"/>
  <c r="P114" i="1" s="1"/>
  <c r="K116" i="1"/>
  <c r="J116" i="1" s="1"/>
  <c r="L116" i="1"/>
  <c r="I116" i="1" s="1"/>
  <c r="M116" i="1"/>
  <c r="H116" i="1" s="1"/>
  <c r="N116" i="1"/>
  <c r="G116" i="1" s="1"/>
  <c r="Q116" i="1"/>
  <c r="AF116" i="1"/>
  <c r="AG116" i="1"/>
  <c r="AH116" i="1"/>
  <c r="AI116" i="1"/>
  <c r="AJ116" i="1"/>
  <c r="AQ113" i="1"/>
  <c r="P113" i="1" s="1"/>
  <c r="AQ112" i="1"/>
  <c r="P112" i="1" s="1"/>
  <c r="AQ111" i="1"/>
  <c r="P111" i="1" s="1"/>
  <c r="AQ110" i="1"/>
  <c r="P110" i="1" s="1"/>
  <c r="Q110" i="1"/>
  <c r="AF110" i="1"/>
  <c r="AG110" i="1"/>
  <c r="AH110" i="1"/>
  <c r="AI110" i="1"/>
  <c r="AJ110" i="1"/>
  <c r="Q111" i="1"/>
  <c r="AF111" i="1"/>
  <c r="AG111" i="1"/>
  <c r="AH111" i="1"/>
  <c r="AI111" i="1"/>
  <c r="AJ111" i="1"/>
  <c r="K112" i="1"/>
  <c r="J112" i="1" s="1"/>
  <c r="L112" i="1"/>
  <c r="I112" i="1" s="1"/>
  <c r="M112" i="1"/>
  <c r="H112" i="1" s="1"/>
  <c r="N112" i="1"/>
  <c r="G112" i="1" s="1"/>
  <c r="Q112" i="1"/>
  <c r="AF112" i="1"/>
  <c r="AG112" i="1"/>
  <c r="AH112" i="1"/>
  <c r="AI112" i="1"/>
  <c r="AJ112" i="1"/>
  <c r="K113" i="1"/>
  <c r="J113" i="1" s="1"/>
  <c r="L113" i="1"/>
  <c r="I113" i="1" s="1"/>
  <c r="M113" i="1"/>
  <c r="H113" i="1" s="1"/>
  <c r="N113" i="1"/>
  <c r="G113" i="1" s="1"/>
  <c r="Q113" i="1"/>
  <c r="AF113" i="1"/>
  <c r="AG113" i="1"/>
  <c r="AH113" i="1"/>
  <c r="AI113" i="1"/>
  <c r="AJ113" i="1"/>
  <c r="Q114" i="1"/>
  <c r="AF114" i="1"/>
  <c r="AG114" i="1"/>
  <c r="AH114" i="1"/>
  <c r="AI114" i="1"/>
  <c r="AJ114" i="1"/>
  <c r="Q115" i="1"/>
  <c r="AF115" i="1"/>
  <c r="AG115" i="1"/>
  <c r="AH115" i="1"/>
  <c r="AI115" i="1"/>
  <c r="AJ115" i="1"/>
  <c r="K117" i="1"/>
  <c r="J117" i="1" s="1"/>
  <c r="L117" i="1"/>
  <c r="I117" i="1" s="1"/>
  <c r="M117" i="1"/>
  <c r="H117" i="1" s="1"/>
  <c r="N117" i="1"/>
  <c r="G117" i="1" s="1"/>
  <c r="Q117" i="1"/>
  <c r="AF117" i="1"/>
  <c r="AG117" i="1"/>
  <c r="AH117" i="1"/>
  <c r="AI117" i="1"/>
  <c r="AJ117" i="1"/>
  <c r="AJ809" i="1"/>
  <c r="AI809" i="1"/>
  <c r="AH809" i="1"/>
  <c r="AG809" i="1"/>
  <c r="AF809" i="1"/>
  <c r="Q809" i="1"/>
  <c r="P809" i="1"/>
  <c r="N809" i="1"/>
  <c r="G809" i="1" s="1"/>
  <c r="M809" i="1"/>
  <c r="H809" i="1" s="1"/>
  <c r="L809" i="1"/>
  <c r="I809" i="1" s="1"/>
  <c r="K809" i="1"/>
  <c r="J809" i="1" s="1"/>
  <c r="D809" i="1"/>
  <c r="AJ808" i="1"/>
  <c r="AI808" i="1"/>
  <c r="AH808" i="1"/>
  <c r="AG808" i="1"/>
  <c r="AF808" i="1"/>
  <c r="Q808" i="1"/>
  <c r="P808" i="1"/>
  <c r="N808" i="1"/>
  <c r="G808" i="1" s="1"/>
  <c r="M808" i="1"/>
  <c r="H808" i="1" s="1"/>
  <c r="L808" i="1"/>
  <c r="I808" i="1" s="1"/>
  <c r="K808" i="1"/>
  <c r="J808" i="1" s="1"/>
  <c r="D808" i="1"/>
  <c r="AJ807" i="1"/>
  <c r="AI807" i="1"/>
  <c r="AH807" i="1"/>
  <c r="AG807" i="1"/>
  <c r="AF807" i="1"/>
  <c r="Q807" i="1"/>
  <c r="P807" i="1"/>
  <c r="N807" i="1"/>
  <c r="G807" i="1" s="1"/>
  <c r="M807" i="1"/>
  <c r="H807" i="1" s="1"/>
  <c r="L807" i="1"/>
  <c r="I807" i="1" s="1"/>
  <c r="K807" i="1"/>
  <c r="J807" i="1" s="1"/>
  <c r="D807" i="1"/>
  <c r="AJ806" i="1"/>
  <c r="AI806" i="1"/>
  <c r="AH806" i="1"/>
  <c r="AG806" i="1"/>
  <c r="AF806" i="1"/>
  <c r="Q806" i="1"/>
  <c r="P806" i="1"/>
  <c r="D806" i="1"/>
  <c r="AJ805" i="1"/>
  <c r="AI805" i="1"/>
  <c r="AH805" i="1"/>
  <c r="AG805" i="1"/>
  <c r="AF805" i="1"/>
  <c r="Q805" i="1"/>
  <c r="P805" i="1"/>
  <c r="D805" i="1"/>
  <c r="AJ804" i="1"/>
  <c r="AI804" i="1"/>
  <c r="AH804" i="1"/>
  <c r="AG804" i="1"/>
  <c r="AF804" i="1"/>
  <c r="Q804" i="1"/>
  <c r="P804" i="1"/>
  <c r="D804" i="1"/>
  <c r="AJ803" i="1"/>
  <c r="AI803" i="1"/>
  <c r="AH803" i="1"/>
  <c r="AG803" i="1"/>
  <c r="AF803" i="1"/>
  <c r="Q803" i="1"/>
  <c r="P803" i="1"/>
  <c r="N803" i="1"/>
  <c r="G803" i="1" s="1"/>
  <c r="M803" i="1"/>
  <c r="H803" i="1" s="1"/>
  <c r="L803" i="1"/>
  <c r="I803" i="1" s="1"/>
  <c r="K803" i="1"/>
  <c r="J803" i="1" s="1"/>
  <c r="D803" i="1"/>
  <c r="AJ802" i="1"/>
  <c r="AI802" i="1"/>
  <c r="AH802" i="1"/>
  <c r="AG802" i="1"/>
  <c r="AF802" i="1"/>
  <c r="Q802" i="1"/>
  <c r="P802" i="1"/>
  <c r="N802" i="1"/>
  <c r="G802" i="1" s="1"/>
  <c r="M802" i="1"/>
  <c r="H802" i="1" s="1"/>
  <c r="L802" i="1"/>
  <c r="I802" i="1" s="1"/>
  <c r="K802" i="1"/>
  <c r="J802" i="1" s="1"/>
  <c r="D802" i="1"/>
  <c r="AJ801" i="1"/>
  <c r="AI801" i="1"/>
  <c r="AH801" i="1"/>
  <c r="AG801" i="1"/>
  <c r="AF801" i="1"/>
  <c r="Q801" i="1"/>
  <c r="P801" i="1"/>
  <c r="N801" i="1"/>
  <c r="G801" i="1" s="1"/>
  <c r="M801" i="1"/>
  <c r="H801" i="1" s="1"/>
  <c r="L801" i="1"/>
  <c r="I801" i="1" s="1"/>
  <c r="K801" i="1"/>
  <c r="J801" i="1" s="1"/>
  <c r="D801" i="1"/>
  <c r="AJ800" i="1"/>
  <c r="AI800" i="1"/>
  <c r="AH800" i="1"/>
  <c r="AG800" i="1"/>
  <c r="AF800" i="1"/>
  <c r="Q800" i="1"/>
  <c r="P800" i="1"/>
  <c r="N800" i="1"/>
  <c r="G800" i="1" s="1"/>
  <c r="M800" i="1"/>
  <c r="H800" i="1" s="1"/>
  <c r="L800" i="1"/>
  <c r="I800" i="1" s="1"/>
  <c r="K800" i="1"/>
  <c r="J800" i="1" s="1"/>
  <c r="D800" i="1"/>
  <c r="AJ799" i="1"/>
  <c r="AI799" i="1"/>
  <c r="AH799" i="1"/>
  <c r="AG799" i="1"/>
  <c r="AF799" i="1"/>
  <c r="Q799" i="1"/>
  <c r="P799" i="1"/>
  <c r="D799" i="1"/>
  <c r="AJ798" i="1"/>
  <c r="AI798" i="1"/>
  <c r="AH798" i="1"/>
  <c r="AG798" i="1"/>
  <c r="AF798" i="1"/>
  <c r="Q798" i="1"/>
  <c r="P798" i="1"/>
  <c r="D798" i="1"/>
  <c r="AJ797" i="1"/>
  <c r="AI797" i="1"/>
  <c r="AH797" i="1"/>
  <c r="AG797" i="1"/>
  <c r="AF797" i="1"/>
  <c r="Q797" i="1"/>
  <c r="P797" i="1"/>
  <c r="D797" i="1"/>
  <c r="AJ796" i="1"/>
  <c r="AI796" i="1"/>
  <c r="AH796" i="1"/>
  <c r="AG796" i="1"/>
  <c r="AF796" i="1"/>
  <c r="Q796" i="1"/>
  <c r="P796" i="1"/>
  <c r="D796" i="1"/>
  <c r="AJ795" i="1"/>
  <c r="AI795" i="1"/>
  <c r="AH795" i="1"/>
  <c r="AG795" i="1"/>
  <c r="AF795" i="1"/>
  <c r="Q795" i="1"/>
  <c r="P795" i="1"/>
  <c r="N795" i="1"/>
  <c r="G795" i="1" s="1"/>
  <c r="M795" i="1"/>
  <c r="H795" i="1" s="1"/>
  <c r="L795" i="1"/>
  <c r="I795" i="1" s="1"/>
  <c r="K795" i="1"/>
  <c r="J795" i="1" s="1"/>
  <c r="D795" i="1"/>
  <c r="AJ794" i="1"/>
  <c r="AI794" i="1"/>
  <c r="AH794" i="1"/>
  <c r="AG794" i="1"/>
  <c r="AF794" i="1"/>
  <c r="Q794" i="1"/>
  <c r="P794" i="1"/>
  <c r="N794" i="1"/>
  <c r="G794" i="1" s="1"/>
  <c r="M794" i="1"/>
  <c r="H794" i="1" s="1"/>
  <c r="L794" i="1"/>
  <c r="I794" i="1" s="1"/>
  <c r="K794" i="1"/>
  <c r="J794" i="1" s="1"/>
  <c r="D794" i="1"/>
  <c r="AJ793" i="1"/>
  <c r="AI793" i="1"/>
  <c r="AH793" i="1"/>
  <c r="AG793" i="1"/>
  <c r="AF793" i="1"/>
  <c r="Q793" i="1"/>
  <c r="P793" i="1"/>
  <c r="N793" i="1"/>
  <c r="G793" i="1" s="1"/>
  <c r="M793" i="1"/>
  <c r="H793" i="1" s="1"/>
  <c r="L793" i="1"/>
  <c r="I793" i="1" s="1"/>
  <c r="K793" i="1"/>
  <c r="J793" i="1" s="1"/>
  <c r="D793" i="1"/>
  <c r="AJ792" i="1"/>
  <c r="AI792" i="1"/>
  <c r="AH792" i="1"/>
  <c r="AG792" i="1"/>
  <c r="AF792" i="1"/>
  <c r="Q792" i="1"/>
  <c r="P792" i="1"/>
  <c r="N792" i="1"/>
  <c r="G792" i="1" s="1"/>
  <c r="M792" i="1"/>
  <c r="H792" i="1" s="1"/>
  <c r="L792" i="1"/>
  <c r="I792" i="1" s="1"/>
  <c r="K792" i="1"/>
  <c r="J792" i="1" s="1"/>
  <c r="D792" i="1"/>
  <c r="AJ791" i="1"/>
  <c r="AI791" i="1"/>
  <c r="AH791" i="1"/>
  <c r="AG791" i="1"/>
  <c r="AF791" i="1"/>
  <c r="Q791" i="1"/>
  <c r="P791" i="1"/>
  <c r="D791" i="1"/>
  <c r="AJ790" i="1"/>
  <c r="AI790" i="1"/>
  <c r="AH790" i="1"/>
  <c r="AG790" i="1"/>
  <c r="AF790" i="1"/>
  <c r="Q790" i="1"/>
  <c r="P790" i="1"/>
  <c r="D790" i="1"/>
  <c r="AJ789" i="1"/>
  <c r="AI789" i="1"/>
  <c r="AH789" i="1"/>
  <c r="AG789" i="1"/>
  <c r="AF789" i="1"/>
  <c r="Q789" i="1"/>
  <c r="P789" i="1"/>
  <c r="D789" i="1"/>
  <c r="AJ788" i="1"/>
  <c r="AI788" i="1"/>
  <c r="AH788" i="1"/>
  <c r="AG788" i="1"/>
  <c r="AF788" i="1"/>
  <c r="Q788" i="1"/>
  <c r="P788" i="1"/>
  <c r="D788" i="1"/>
  <c r="AJ787" i="1"/>
  <c r="AI787" i="1"/>
  <c r="AH787" i="1"/>
  <c r="AG787" i="1"/>
  <c r="AF787" i="1"/>
  <c r="Q787" i="1"/>
  <c r="P787" i="1"/>
  <c r="N787" i="1"/>
  <c r="G787" i="1" s="1"/>
  <c r="M787" i="1"/>
  <c r="H787" i="1" s="1"/>
  <c r="L787" i="1"/>
  <c r="I787" i="1" s="1"/>
  <c r="K787" i="1"/>
  <c r="J787" i="1" s="1"/>
  <c r="D787" i="1"/>
  <c r="AJ786" i="1"/>
  <c r="AI786" i="1"/>
  <c r="AH786" i="1"/>
  <c r="AG786" i="1"/>
  <c r="AF786" i="1"/>
  <c r="Q786" i="1"/>
  <c r="P786" i="1"/>
  <c r="N786" i="1"/>
  <c r="G786" i="1" s="1"/>
  <c r="M786" i="1"/>
  <c r="H786" i="1" s="1"/>
  <c r="L786" i="1"/>
  <c r="I786" i="1" s="1"/>
  <c r="K786" i="1"/>
  <c r="J786" i="1" s="1"/>
  <c r="D786" i="1"/>
  <c r="AJ785" i="1"/>
  <c r="AI785" i="1"/>
  <c r="AH785" i="1"/>
  <c r="AG785" i="1"/>
  <c r="AF785" i="1"/>
  <c r="Q785" i="1"/>
  <c r="P785" i="1"/>
  <c r="N785" i="1"/>
  <c r="G785" i="1" s="1"/>
  <c r="M785" i="1"/>
  <c r="H785" i="1" s="1"/>
  <c r="L785" i="1"/>
  <c r="I785" i="1" s="1"/>
  <c r="K785" i="1"/>
  <c r="J785" i="1" s="1"/>
  <c r="D785" i="1"/>
  <c r="AJ784" i="1"/>
  <c r="AI784" i="1"/>
  <c r="AH784" i="1"/>
  <c r="AG784" i="1"/>
  <c r="AF784" i="1"/>
  <c r="Q784" i="1"/>
  <c r="P784" i="1"/>
  <c r="D784" i="1"/>
  <c r="AJ783" i="1"/>
  <c r="AI783" i="1"/>
  <c r="AH783" i="1"/>
  <c r="AG783" i="1"/>
  <c r="AF783" i="1"/>
  <c r="Q783" i="1"/>
  <c r="P783" i="1"/>
  <c r="D783" i="1"/>
  <c r="AJ782" i="1"/>
  <c r="AI782" i="1"/>
  <c r="AH782" i="1"/>
  <c r="AG782" i="1"/>
  <c r="AF782" i="1"/>
  <c r="Q782" i="1"/>
  <c r="P782" i="1"/>
  <c r="D782" i="1"/>
  <c r="AJ781" i="1"/>
  <c r="AI781" i="1"/>
  <c r="AH781" i="1"/>
  <c r="AG781" i="1"/>
  <c r="AF781" i="1"/>
  <c r="Q781" i="1"/>
  <c r="P781" i="1"/>
  <c r="N781" i="1"/>
  <c r="G781" i="1" s="1"/>
  <c r="M781" i="1"/>
  <c r="H781" i="1" s="1"/>
  <c r="L781" i="1"/>
  <c r="I781" i="1" s="1"/>
  <c r="K781" i="1"/>
  <c r="J781" i="1" s="1"/>
  <c r="D781" i="1"/>
  <c r="AJ780" i="1"/>
  <c r="AI780" i="1"/>
  <c r="AH780" i="1"/>
  <c r="AG780" i="1"/>
  <c r="AF780" i="1"/>
  <c r="Q780" i="1"/>
  <c r="P780" i="1"/>
  <c r="N780" i="1"/>
  <c r="G780" i="1" s="1"/>
  <c r="M780" i="1"/>
  <c r="H780" i="1" s="1"/>
  <c r="L780" i="1"/>
  <c r="I780" i="1" s="1"/>
  <c r="K780" i="1"/>
  <c r="J780" i="1" s="1"/>
  <c r="D780" i="1"/>
  <c r="AJ779" i="1"/>
  <c r="AI779" i="1"/>
  <c r="AH779" i="1"/>
  <c r="AG779" i="1"/>
  <c r="AF779" i="1"/>
  <c r="Q779" i="1"/>
  <c r="P779" i="1"/>
  <c r="N779" i="1"/>
  <c r="G779" i="1" s="1"/>
  <c r="M779" i="1"/>
  <c r="H779" i="1" s="1"/>
  <c r="L779" i="1"/>
  <c r="I779" i="1" s="1"/>
  <c r="K779" i="1"/>
  <c r="J779" i="1" s="1"/>
  <c r="D779" i="1"/>
  <c r="AJ778" i="1"/>
  <c r="AI778" i="1"/>
  <c r="AH778" i="1"/>
  <c r="AG778" i="1"/>
  <c r="AF778" i="1"/>
  <c r="Q778" i="1"/>
  <c r="P778" i="1"/>
  <c r="N778" i="1"/>
  <c r="G778" i="1" s="1"/>
  <c r="M778" i="1"/>
  <c r="H778" i="1" s="1"/>
  <c r="L778" i="1"/>
  <c r="I778" i="1" s="1"/>
  <c r="K778" i="1"/>
  <c r="J778" i="1" s="1"/>
  <c r="D778" i="1"/>
  <c r="AJ777" i="1"/>
  <c r="AI777" i="1"/>
  <c r="AH777" i="1"/>
  <c r="AG777" i="1"/>
  <c r="AF777" i="1"/>
  <c r="Q777" i="1"/>
  <c r="P777" i="1"/>
  <c r="D777" i="1"/>
  <c r="AJ776" i="1"/>
  <c r="AI776" i="1"/>
  <c r="AH776" i="1"/>
  <c r="AG776" i="1"/>
  <c r="AF776" i="1"/>
  <c r="Q776" i="1"/>
  <c r="P776" i="1"/>
  <c r="D776" i="1"/>
  <c r="AJ775" i="1"/>
  <c r="AI775" i="1"/>
  <c r="AH775" i="1"/>
  <c r="AG775" i="1"/>
  <c r="AF775" i="1"/>
  <c r="Q775" i="1"/>
  <c r="P775" i="1"/>
  <c r="D775" i="1"/>
  <c r="AJ774" i="1"/>
  <c r="AI774" i="1"/>
  <c r="AH774" i="1"/>
  <c r="AG774" i="1"/>
  <c r="AF774" i="1"/>
  <c r="Q774" i="1"/>
  <c r="P774" i="1"/>
  <c r="D774" i="1"/>
  <c r="AJ773" i="1"/>
  <c r="AI773" i="1"/>
  <c r="AH773" i="1"/>
  <c r="AG773" i="1"/>
  <c r="AF773" i="1"/>
  <c r="Q773" i="1"/>
  <c r="P773" i="1"/>
  <c r="N773" i="1"/>
  <c r="G773" i="1" s="1"/>
  <c r="M773" i="1"/>
  <c r="H773" i="1" s="1"/>
  <c r="L773" i="1"/>
  <c r="I773" i="1" s="1"/>
  <c r="K773" i="1"/>
  <c r="J773" i="1" s="1"/>
  <c r="D773" i="1"/>
  <c r="AJ772" i="1"/>
  <c r="AI772" i="1"/>
  <c r="AH772" i="1"/>
  <c r="AG772" i="1"/>
  <c r="AF772" i="1"/>
  <c r="Q772" i="1"/>
  <c r="P772" i="1"/>
  <c r="N772" i="1"/>
  <c r="G772" i="1" s="1"/>
  <c r="M772" i="1"/>
  <c r="H772" i="1" s="1"/>
  <c r="L772" i="1"/>
  <c r="I772" i="1" s="1"/>
  <c r="K772" i="1"/>
  <c r="J772" i="1" s="1"/>
  <c r="D772" i="1"/>
  <c r="AJ771" i="1"/>
  <c r="AI771" i="1"/>
  <c r="AH771" i="1"/>
  <c r="AG771" i="1"/>
  <c r="AF771" i="1"/>
  <c r="Q771" i="1"/>
  <c r="P771" i="1"/>
  <c r="N771" i="1"/>
  <c r="G771" i="1" s="1"/>
  <c r="M771" i="1"/>
  <c r="H771" i="1" s="1"/>
  <c r="L771" i="1"/>
  <c r="I771" i="1" s="1"/>
  <c r="K771" i="1"/>
  <c r="J771" i="1" s="1"/>
  <c r="D771" i="1"/>
  <c r="AJ770" i="1"/>
  <c r="AI770" i="1"/>
  <c r="AH770" i="1"/>
  <c r="AG770" i="1"/>
  <c r="AF770" i="1"/>
  <c r="Q770" i="1"/>
  <c r="P770" i="1"/>
  <c r="N770" i="1"/>
  <c r="G770" i="1" s="1"/>
  <c r="M770" i="1"/>
  <c r="H770" i="1" s="1"/>
  <c r="L770" i="1"/>
  <c r="I770" i="1" s="1"/>
  <c r="K770" i="1"/>
  <c r="J770" i="1" s="1"/>
  <c r="D770" i="1"/>
  <c r="AJ769" i="1"/>
  <c r="AI769" i="1"/>
  <c r="AH769" i="1"/>
  <c r="AG769" i="1"/>
  <c r="AF769" i="1"/>
  <c r="Q769" i="1"/>
  <c r="P769" i="1"/>
  <c r="D769" i="1"/>
  <c r="AJ768" i="1"/>
  <c r="AI768" i="1"/>
  <c r="AH768" i="1"/>
  <c r="AG768" i="1"/>
  <c r="AF768" i="1"/>
  <c r="Q768" i="1"/>
  <c r="P768" i="1"/>
  <c r="D768" i="1"/>
  <c r="AJ767" i="1"/>
  <c r="AI767" i="1"/>
  <c r="AH767" i="1"/>
  <c r="AG767" i="1"/>
  <c r="AF767" i="1"/>
  <c r="Q767" i="1"/>
  <c r="P767" i="1"/>
  <c r="D767" i="1"/>
  <c r="AJ766" i="1"/>
  <c r="AI766" i="1"/>
  <c r="AH766" i="1"/>
  <c r="AG766" i="1"/>
  <c r="AF766" i="1"/>
  <c r="Q766" i="1"/>
  <c r="P766" i="1"/>
  <c r="D766" i="1"/>
  <c r="AJ765" i="1"/>
  <c r="AI765" i="1"/>
  <c r="AH765" i="1"/>
  <c r="AG765" i="1"/>
  <c r="AF765" i="1"/>
  <c r="Q765" i="1"/>
  <c r="P765" i="1"/>
  <c r="N765" i="1"/>
  <c r="G765" i="1" s="1"/>
  <c r="M765" i="1"/>
  <c r="H765" i="1" s="1"/>
  <c r="L765" i="1"/>
  <c r="I765" i="1" s="1"/>
  <c r="K765" i="1"/>
  <c r="J765" i="1" s="1"/>
  <c r="D765" i="1"/>
  <c r="AJ764" i="1"/>
  <c r="AI764" i="1"/>
  <c r="AH764" i="1"/>
  <c r="AG764" i="1"/>
  <c r="AF764" i="1"/>
  <c r="Q764" i="1"/>
  <c r="P764" i="1"/>
  <c r="N764" i="1"/>
  <c r="G764" i="1" s="1"/>
  <c r="M764" i="1"/>
  <c r="H764" i="1" s="1"/>
  <c r="L764" i="1"/>
  <c r="I764" i="1" s="1"/>
  <c r="K764" i="1"/>
  <c r="J764" i="1" s="1"/>
  <c r="D764" i="1"/>
  <c r="AJ763" i="1"/>
  <c r="AI763" i="1"/>
  <c r="AH763" i="1"/>
  <c r="AG763" i="1"/>
  <c r="AF763" i="1"/>
  <c r="Q763" i="1"/>
  <c r="P763" i="1"/>
  <c r="N763" i="1"/>
  <c r="G763" i="1" s="1"/>
  <c r="M763" i="1"/>
  <c r="H763" i="1" s="1"/>
  <c r="L763" i="1"/>
  <c r="I763" i="1" s="1"/>
  <c r="K763" i="1"/>
  <c r="J763" i="1" s="1"/>
  <c r="D763" i="1"/>
  <c r="AJ762" i="1"/>
  <c r="AI762" i="1"/>
  <c r="AH762" i="1"/>
  <c r="AG762" i="1"/>
  <c r="AF762" i="1"/>
  <c r="Q762" i="1"/>
  <c r="P762" i="1"/>
  <c r="D762" i="1"/>
  <c r="AJ761" i="1"/>
  <c r="AI761" i="1"/>
  <c r="AH761" i="1"/>
  <c r="AG761" i="1"/>
  <c r="AF761" i="1"/>
  <c r="Q761" i="1"/>
  <c r="P761" i="1"/>
  <c r="D761" i="1"/>
  <c r="AJ760" i="1"/>
  <c r="AI760" i="1"/>
  <c r="AH760" i="1"/>
  <c r="AG760" i="1"/>
  <c r="AF760" i="1"/>
  <c r="Q760" i="1"/>
  <c r="P760" i="1"/>
  <c r="D760" i="1"/>
  <c r="AJ759" i="1"/>
  <c r="AI759" i="1"/>
  <c r="AH759" i="1"/>
  <c r="AG759" i="1"/>
  <c r="AF759" i="1"/>
  <c r="Q759" i="1"/>
  <c r="P759" i="1"/>
  <c r="N759" i="1"/>
  <c r="G759" i="1" s="1"/>
  <c r="M759" i="1"/>
  <c r="H759" i="1" s="1"/>
  <c r="L759" i="1"/>
  <c r="I759" i="1" s="1"/>
  <c r="K759" i="1"/>
  <c r="J759" i="1" s="1"/>
  <c r="D759" i="1"/>
  <c r="AJ758" i="1"/>
  <c r="AI758" i="1"/>
  <c r="AH758" i="1"/>
  <c r="AG758" i="1"/>
  <c r="AF758" i="1"/>
  <c r="Q758" i="1"/>
  <c r="P758" i="1"/>
  <c r="N758" i="1"/>
  <c r="G758" i="1" s="1"/>
  <c r="M758" i="1"/>
  <c r="H758" i="1" s="1"/>
  <c r="L758" i="1"/>
  <c r="I758" i="1" s="1"/>
  <c r="K758" i="1"/>
  <c r="J758" i="1" s="1"/>
  <c r="D758" i="1"/>
  <c r="AJ757" i="1"/>
  <c r="AI757" i="1"/>
  <c r="AH757" i="1"/>
  <c r="AG757" i="1"/>
  <c r="AF757" i="1"/>
  <c r="Q757" i="1"/>
  <c r="P757" i="1"/>
  <c r="N757" i="1"/>
  <c r="G757" i="1" s="1"/>
  <c r="M757" i="1"/>
  <c r="H757" i="1" s="1"/>
  <c r="L757" i="1"/>
  <c r="I757" i="1" s="1"/>
  <c r="K757" i="1"/>
  <c r="J757" i="1" s="1"/>
  <c r="D757" i="1"/>
  <c r="AJ756" i="1"/>
  <c r="AI756" i="1"/>
  <c r="AH756" i="1"/>
  <c r="AG756" i="1"/>
  <c r="AF756" i="1"/>
  <c r="Q756" i="1"/>
  <c r="P756" i="1"/>
  <c r="D756" i="1"/>
  <c r="AJ755" i="1"/>
  <c r="AI755" i="1"/>
  <c r="AH755" i="1"/>
  <c r="AG755" i="1"/>
  <c r="AF755" i="1"/>
  <c r="Q755" i="1"/>
  <c r="P755" i="1"/>
  <c r="D755" i="1"/>
  <c r="AJ754" i="1"/>
  <c r="AI754" i="1"/>
  <c r="AH754" i="1"/>
  <c r="AG754" i="1"/>
  <c r="AF754" i="1"/>
  <c r="Q754" i="1"/>
  <c r="P754" i="1"/>
  <c r="D754" i="1"/>
  <c r="AJ753" i="1"/>
  <c r="AI753" i="1"/>
  <c r="AH753" i="1"/>
  <c r="AG753" i="1"/>
  <c r="AF753" i="1"/>
  <c r="Q753" i="1"/>
  <c r="P753" i="1"/>
  <c r="N753" i="1"/>
  <c r="G753" i="1" s="1"/>
  <c r="M753" i="1"/>
  <c r="H753" i="1" s="1"/>
  <c r="L753" i="1"/>
  <c r="I753" i="1" s="1"/>
  <c r="K753" i="1"/>
  <c r="J753" i="1" s="1"/>
  <c r="D753" i="1"/>
  <c r="AJ752" i="1"/>
  <c r="AI752" i="1"/>
  <c r="AH752" i="1"/>
  <c r="AG752" i="1"/>
  <c r="AF752" i="1"/>
  <c r="Q752" i="1"/>
  <c r="P752" i="1"/>
  <c r="N752" i="1"/>
  <c r="G752" i="1" s="1"/>
  <c r="M752" i="1"/>
  <c r="H752" i="1" s="1"/>
  <c r="L752" i="1"/>
  <c r="I752" i="1" s="1"/>
  <c r="K752" i="1"/>
  <c r="J752" i="1" s="1"/>
  <c r="D752" i="1"/>
  <c r="AJ751" i="1"/>
  <c r="AI751" i="1"/>
  <c r="AH751" i="1"/>
  <c r="AG751" i="1"/>
  <c r="AF751" i="1"/>
  <c r="Q751" i="1"/>
  <c r="P751" i="1"/>
  <c r="D751" i="1"/>
  <c r="AJ750" i="1"/>
  <c r="AI750" i="1"/>
  <c r="AH750" i="1"/>
  <c r="AG750" i="1"/>
  <c r="AF750" i="1"/>
  <c r="Q750" i="1"/>
  <c r="P750" i="1"/>
  <c r="D750" i="1"/>
  <c r="AJ749" i="1"/>
  <c r="AI749" i="1"/>
  <c r="AH749" i="1"/>
  <c r="AG749" i="1"/>
  <c r="AF749" i="1"/>
  <c r="Q749" i="1"/>
  <c r="P749" i="1"/>
  <c r="N749" i="1"/>
  <c r="G749" i="1" s="1"/>
  <c r="M749" i="1"/>
  <c r="H749" i="1" s="1"/>
  <c r="L749" i="1"/>
  <c r="I749" i="1" s="1"/>
  <c r="K749" i="1"/>
  <c r="J749" i="1" s="1"/>
  <c r="D749" i="1"/>
  <c r="AJ748" i="1"/>
  <c r="AI748" i="1"/>
  <c r="AH748" i="1"/>
  <c r="AG748" i="1"/>
  <c r="AF748" i="1"/>
  <c r="Q748" i="1"/>
  <c r="P748" i="1"/>
  <c r="N748" i="1"/>
  <c r="G748" i="1" s="1"/>
  <c r="M748" i="1"/>
  <c r="H748" i="1" s="1"/>
  <c r="L748" i="1"/>
  <c r="I748" i="1" s="1"/>
  <c r="K748" i="1"/>
  <c r="J748" i="1" s="1"/>
  <c r="D748" i="1"/>
  <c r="AJ747" i="1"/>
  <c r="AI747" i="1"/>
  <c r="AH747" i="1"/>
  <c r="AG747" i="1"/>
  <c r="AF747" i="1"/>
  <c r="Q747" i="1"/>
  <c r="P747" i="1"/>
  <c r="D747" i="1"/>
  <c r="AJ746" i="1"/>
  <c r="AI746" i="1"/>
  <c r="AH746" i="1"/>
  <c r="AG746" i="1"/>
  <c r="AF746" i="1"/>
  <c r="Q746" i="1"/>
  <c r="P746" i="1"/>
  <c r="D746" i="1"/>
  <c r="AJ745" i="1"/>
  <c r="AI745" i="1"/>
  <c r="AH745" i="1"/>
  <c r="AG745" i="1"/>
  <c r="AF745" i="1"/>
  <c r="Q745" i="1"/>
  <c r="P745" i="1"/>
  <c r="N745" i="1"/>
  <c r="G745" i="1" s="1"/>
  <c r="M745" i="1"/>
  <c r="H745" i="1" s="1"/>
  <c r="L745" i="1"/>
  <c r="I745" i="1" s="1"/>
  <c r="K745" i="1"/>
  <c r="J745" i="1" s="1"/>
  <c r="D745" i="1"/>
  <c r="AJ744" i="1"/>
  <c r="AI744" i="1"/>
  <c r="AH744" i="1"/>
  <c r="AG744" i="1"/>
  <c r="AF744" i="1"/>
  <c r="Q744" i="1"/>
  <c r="P744" i="1"/>
  <c r="N744" i="1"/>
  <c r="G744" i="1" s="1"/>
  <c r="M744" i="1"/>
  <c r="H744" i="1" s="1"/>
  <c r="L744" i="1"/>
  <c r="I744" i="1" s="1"/>
  <c r="K744" i="1"/>
  <c r="J744" i="1" s="1"/>
  <c r="D744" i="1"/>
  <c r="AJ743" i="1"/>
  <c r="AI743" i="1"/>
  <c r="AH743" i="1"/>
  <c r="AG743" i="1"/>
  <c r="AF743" i="1"/>
  <c r="Q743" i="1"/>
  <c r="P743" i="1"/>
  <c r="D743" i="1"/>
  <c r="AJ742" i="1"/>
  <c r="AI742" i="1"/>
  <c r="AH742" i="1"/>
  <c r="AG742" i="1"/>
  <c r="AF742" i="1"/>
  <c r="Q742" i="1"/>
  <c r="P742" i="1"/>
  <c r="D742" i="1"/>
  <c r="AQ673" i="1"/>
  <c r="P673" i="1" s="1"/>
  <c r="AJ673" i="1"/>
  <c r="AI673" i="1"/>
  <c r="AH673" i="1"/>
  <c r="AG673" i="1"/>
  <c r="AF673" i="1"/>
  <c r="Q673" i="1"/>
  <c r="N673" i="1"/>
  <c r="G673" i="1" s="1"/>
  <c r="M673" i="1"/>
  <c r="H673" i="1" s="1"/>
  <c r="L673" i="1"/>
  <c r="I673" i="1" s="1"/>
  <c r="K673" i="1"/>
  <c r="J673" i="1" s="1"/>
  <c r="D673" i="1"/>
  <c r="AQ672" i="1"/>
  <c r="P672" i="1" s="1"/>
  <c r="AJ672" i="1"/>
  <c r="AI672" i="1"/>
  <c r="AH672" i="1"/>
  <c r="AG672" i="1"/>
  <c r="AF672" i="1"/>
  <c r="Q672" i="1"/>
  <c r="N672" i="1"/>
  <c r="G672" i="1" s="1"/>
  <c r="M672" i="1"/>
  <c r="H672" i="1" s="1"/>
  <c r="L672" i="1"/>
  <c r="I672" i="1" s="1"/>
  <c r="K672" i="1"/>
  <c r="J672" i="1" s="1"/>
  <c r="D672" i="1"/>
  <c r="AQ671" i="1"/>
  <c r="P671" i="1" s="1"/>
  <c r="AJ671" i="1"/>
  <c r="AI671" i="1"/>
  <c r="AH671" i="1"/>
  <c r="AG671" i="1"/>
  <c r="AF671" i="1"/>
  <c r="Q671" i="1"/>
  <c r="N671" i="1"/>
  <c r="G671" i="1" s="1"/>
  <c r="M671" i="1"/>
  <c r="H671" i="1" s="1"/>
  <c r="L671" i="1"/>
  <c r="I671" i="1" s="1"/>
  <c r="K671" i="1"/>
  <c r="J671" i="1" s="1"/>
  <c r="D671" i="1"/>
  <c r="AQ670" i="1"/>
  <c r="P670" i="1" s="1"/>
  <c r="AJ670" i="1"/>
  <c r="AI670" i="1"/>
  <c r="AH670" i="1"/>
  <c r="AG670" i="1"/>
  <c r="AF670" i="1"/>
  <c r="Q670" i="1"/>
  <c r="N670" i="1"/>
  <c r="G670" i="1" s="1"/>
  <c r="M670" i="1"/>
  <c r="H670" i="1" s="1"/>
  <c r="L670" i="1"/>
  <c r="I670" i="1" s="1"/>
  <c r="K670" i="1"/>
  <c r="J670" i="1" s="1"/>
  <c r="D670" i="1"/>
  <c r="AQ669" i="1"/>
  <c r="P669" i="1" s="1"/>
  <c r="AJ669" i="1"/>
  <c r="AI669" i="1"/>
  <c r="AH669" i="1"/>
  <c r="AG669" i="1"/>
  <c r="AF669" i="1"/>
  <c r="Q669" i="1"/>
  <c r="D669" i="1"/>
  <c r="AQ668" i="1"/>
  <c r="P668" i="1" s="1"/>
  <c r="AJ668" i="1"/>
  <c r="AI668" i="1"/>
  <c r="AH668" i="1"/>
  <c r="AG668" i="1"/>
  <c r="AF668" i="1"/>
  <c r="Q668" i="1"/>
  <c r="N668" i="1"/>
  <c r="G668" i="1" s="1"/>
  <c r="M668" i="1"/>
  <c r="H668" i="1" s="1"/>
  <c r="L668" i="1"/>
  <c r="I668" i="1" s="1"/>
  <c r="K668" i="1"/>
  <c r="J668" i="1" s="1"/>
  <c r="D668" i="1"/>
  <c r="AQ667" i="1"/>
  <c r="P667" i="1" s="1"/>
  <c r="AJ667" i="1"/>
  <c r="AI667" i="1"/>
  <c r="AH667" i="1"/>
  <c r="AG667" i="1"/>
  <c r="AF667" i="1"/>
  <c r="Q667" i="1"/>
  <c r="N667" i="1"/>
  <c r="G667" i="1" s="1"/>
  <c r="M667" i="1"/>
  <c r="H667" i="1" s="1"/>
  <c r="L667" i="1"/>
  <c r="I667" i="1" s="1"/>
  <c r="K667" i="1"/>
  <c r="J667" i="1" s="1"/>
  <c r="D667" i="1"/>
  <c r="AQ666" i="1"/>
  <c r="P666" i="1" s="1"/>
  <c r="AJ666" i="1"/>
  <c r="AI666" i="1"/>
  <c r="AH666" i="1"/>
  <c r="AG666" i="1"/>
  <c r="AF666" i="1"/>
  <c r="Q666" i="1"/>
  <c r="N666" i="1"/>
  <c r="G666" i="1" s="1"/>
  <c r="M666" i="1"/>
  <c r="H666" i="1" s="1"/>
  <c r="L666" i="1"/>
  <c r="I666" i="1" s="1"/>
  <c r="K666" i="1"/>
  <c r="J666" i="1" s="1"/>
  <c r="D666" i="1"/>
  <c r="AQ665" i="1"/>
  <c r="P665" i="1" s="1"/>
  <c r="AJ665" i="1"/>
  <c r="AI665" i="1"/>
  <c r="AH665" i="1"/>
  <c r="AG665" i="1"/>
  <c r="AF665" i="1"/>
  <c r="Q665" i="1"/>
  <c r="N665" i="1"/>
  <c r="G665" i="1" s="1"/>
  <c r="M665" i="1"/>
  <c r="H665" i="1" s="1"/>
  <c r="L665" i="1"/>
  <c r="I665" i="1" s="1"/>
  <c r="K665" i="1"/>
  <c r="J665" i="1" s="1"/>
  <c r="D665" i="1"/>
  <c r="AQ664" i="1"/>
  <c r="P664" i="1" s="1"/>
  <c r="AJ664" i="1"/>
  <c r="AI664" i="1"/>
  <c r="AH664" i="1"/>
  <c r="AG664" i="1"/>
  <c r="AF664" i="1"/>
  <c r="Q664" i="1"/>
  <c r="D664" i="1"/>
  <c r="AQ663" i="1"/>
  <c r="P663" i="1" s="1"/>
  <c r="AJ663" i="1"/>
  <c r="AI663" i="1"/>
  <c r="AH663" i="1"/>
  <c r="AG663" i="1"/>
  <c r="AF663" i="1"/>
  <c r="Q663" i="1"/>
  <c r="N663" i="1"/>
  <c r="G663" i="1" s="1"/>
  <c r="M663" i="1"/>
  <c r="H663" i="1" s="1"/>
  <c r="L663" i="1"/>
  <c r="I663" i="1" s="1"/>
  <c r="K663" i="1"/>
  <c r="J663" i="1" s="1"/>
  <c r="D663" i="1"/>
  <c r="AQ662" i="1"/>
  <c r="P662" i="1" s="1"/>
  <c r="AJ662" i="1"/>
  <c r="AI662" i="1"/>
  <c r="AH662" i="1"/>
  <c r="AG662" i="1"/>
  <c r="AF662" i="1"/>
  <c r="Q662" i="1"/>
  <c r="N662" i="1"/>
  <c r="G662" i="1" s="1"/>
  <c r="M662" i="1"/>
  <c r="H662" i="1" s="1"/>
  <c r="L662" i="1"/>
  <c r="I662" i="1" s="1"/>
  <c r="K662" i="1"/>
  <c r="J662" i="1" s="1"/>
  <c r="D662" i="1"/>
  <c r="AQ661" i="1"/>
  <c r="P661" i="1" s="1"/>
  <c r="AJ661" i="1"/>
  <c r="AI661" i="1"/>
  <c r="AH661" i="1"/>
  <c r="AG661" i="1"/>
  <c r="AF661" i="1"/>
  <c r="Q661" i="1"/>
  <c r="N661" i="1"/>
  <c r="G661" i="1" s="1"/>
  <c r="M661" i="1"/>
  <c r="H661" i="1" s="1"/>
  <c r="L661" i="1"/>
  <c r="I661" i="1" s="1"/>
  <c r="K661" i="1"/>
  <c r="J661" i="1" s="1"/>
  <c r="D661" i="1"/>
  <c r="AQ660" i="1"/>
  <c r="P660" i="1" s="1"/>
  <c r="AJ660" i="1"/>
  <c r="AI660" i="1"/>
  <c r="AH660" i="1"/>
  <c r="AG660" i="1"/>
  <c r="AF660" i="1"/>
  <c r="Q660" i="1"/>
  <c r="N660" i="1"/>
  <c r="G660" i="1" s="1"/>
  <c r="M660" i="1"/>
  <c r="H660" i="1" s="1"/>
  <c r="L660" i="1"/>
  <c r="I660" i="1" s="1"/>
  <c r="K660" i="1"/>
  <c r="J660" i="1" s="1"/>
  <c r="D660" i="1"/>
  <c r="AQ659" i="1"/>
  <c r="P659" i="1" s="1"/>
  <c r="AJ659" i="1"/>
  <c r="AI659" i="1"/>
  <c r="AH659" i="1"/>
  <c r="AG659" i="1"/>
  <c r="AF659" i="1"/>
  <c r="Q659" i="1"/>
  <c r="N659" i="1"/>
  <c r="G659" i="1" s="1"/>
  <c r="M659" i="1"/>
  <c r="H659" i="1" s="1"/>
  <c r="L659" i="1"/>
  <c r="I659" i="1" s="1"/>
  <c r="K659" i="1"/>
  <c r="J659" i="1" s="1"/>
  <c r="D659" i="1"/>
  <c r="AQ658" i="1"/>
  <c r="P658" i="1" s="1"/>
  <c r="AJ658" i="1"/>
  <c r="AI658" i="1"/>
  <c r="AH658" i="1"/>
  <c r="AG658" i="1"/>
  <c r="AF658" i="1"/>
  <c r="Q658" i="1"/>
  <c r="N658" i="1"/>
  <c r="G658" i="1" s="1"/>
  <c r="M658" i="1"/>
  <c r="H658" i="1" s="1"/>
  <c r="L658" i="1"/>
  <c r="I658" i="1" s="1"/>
  <c r="K658" i="1"/>
  <c r="J658" i="1" s="1"/>
  <c r="D658" i="1"/>
  <c r="AQ657" i="1"/>
  <c r="P657" i="1" s="1"/>
  <c r="AJ657" i="1"/>
  <c r="AI657" i="1"/>
  <c r="AH657" i="1"/>
  <c r="AG657" i="1"/>
  <c r="AF657" i="1"/>
  <c r="Q657" i="1"/>
  <c r="N657" i="1"/>
  <c r="G657" i="1" s="1"/>
  <c r="M657" i="1"/>
  <c r="H657" i="1" s="1"/>
  <c r="L657" i="1"/>
  <c r="I657" i="1" s="1"/>
  <c r="K657" i="1"/>
  <c r="J657" i="1" s="1"/>
  <c r="D657" i="1"/>
  <c r="AQ656" i="1"/>
  <c r="P656" i="1" s="1"/>
  <c r="AJ656" i="1"/>
  <c r="AI656" i="1"/>
  <c r="AH656" i="1"/>
  <c r="AG656" i="1"/>
  <c r="AF656" i="1"/>
  <c r="Q656" i="1"/>
  <c r="N656" i="1"/>
  <c r="G656" i="1" s="1"/>
  <c r="M656" i="1"/>
  <c r="H656" i="1" s="1"/>
  <c r="L656" i="1"/>
  <c r="I656" i="1" s="1"/>
  <c r="K656" i="1"/>
  <c r="J656" i="1" s="1"/>
  <c r="D656" i="1"/>
  <c r="AQ655" i="1"/>
  <c r="P655" i="1" s="1"/>
  <c r="AJ655" i="1"/>
  <c r="AI655" i="1"/>
  <c r="AH655" i="1"/>
  <c r="AG655" i="1"/>
  <c r="AF655" i="1"/>
  <c r="Q655" i="1"/>
  <c r="D655" i="1"/>
  <c r="AQ654" i="1"/>
  <c r="P654" i="1" s="1"/>
  <c r="AJ654" i="1"/>
  <c r="AI654" i="1"/>
  <c r="AH654" i="1"/>
  <c r="AG654" i="1"/>
  <c r="AF654" i="1"/>
  <c r="Q654" i="1"/>
  <c r="D654" i="1"/>
  <c r="AQ653" i="1"/>
  <c r="P653" i="1" s="1"/>
  <c r="AJ653" i="1"/>
  <c r="AI653" i="1"/>
  <c r="AH653" i="1"/>
  <c r="AG653" i="1"/>
  <c r="AF653" i="1"/>
  <c r="Q653" i="1"/>
  <c r="N653" i="1"/>
  <c r="G653" i="1" s="1"/>
  <c r="M653" i="1"/>
  <c r="H653" i="1" s="1"/>
  <c r="L653" i="1"/>
  <c r="I653" i="1" s="1"/>
  <c r="K653" i="1"/>
  <c r="J653" i="1" s="1"/>
  <c r="D653" i="1"/>
  <c r="AQ652" i="1"/>
  <c r="P652" i="1" s="1"/>
  <c r="AJ652" i="1"/>
  <c r="AI652" i="1"/>
  <c r="AH652" i="1"/>
  <c r="AG652" i="1"/>
  <c r="AF652" i="1"/>
  <c r="Q652" i="1"/>
  <c r="N652" i="1"/>
  <c r="G652" i="1" s="1"/>
  <c r="M652" i="1"/>
  <c r="H652" i="1" s="1"/>
  <c r="L652" i="1"/>
  <c r="I652" i="1" s="1"/>
  <c r="K652" i="1"/>
  <c r="J652" i="1" s="1"/>
  <c r="D652" i="1"/>
  <c r="AQ651" i="1"/>
  <c r="P651" i="1" s="1"/>
  <c r="AJ651" i="1"/>
  <c r="AI651" i="1"/>
  <c r="AH651" i="1"/>
  <c r="AG651" i="1"/>
  <c r="AF651" i="1"/>
  <c r="Q651" i="1"/>
  <c r="N651" i="1"/>
  <c r="G651" i="1" s="1"/>
  <c r="M651" i="1"/>
  <c r="H651" i="1" s="1"/>
  <c r="L651" i="1"/>
  <c r="I651" i="1" s="1"/>
  <c r="K651" i="1"/>
  <c r="J651" i="1" s="1"/>
  <c r="D651" i="1"/>
  <c r="AQ650" i="1"/>
  <c r="P650" i="1" s="1"/>
  <c r="AJ650" i="1"/>
  <c r="AI650" i="1"/>
  <c r="AH650" i="1"/>
  <c r="AG650" i="1"/>
  <c r="AF650" i="1"/>
  <c r="Q650" i="1"/>
  <c r="N650" i="1"/>
  <c r="G650" i="1" s="1"/>
  <c r="M650" i="1"/>
  <c r="H650" i="1" s="1"/>
  <c r="L650" i="1"/>
  <c r="I650" i="1" s="1"/>
  <c r="K650" i="1"/>
  <c r="J650" i="1" s="1"/>
  <c r="D650" i="1"/>
  <c r="AQ649" i="1"/>
  <c r="P649" i="1" s="1"/>
  <c r="AJ649" i="1"/>
  <c r="AI649" i="1"/>
  <c r="AH649" i="1"/>
  <c r="AG649" i="1"/>
  <c r="AF649" i="1"/>
  <c r="Q649" i="1"/>
  <c r="N649" i="1"/>
  <c r="G649" i="1" s="1"/>
  <c r="M649" i="1"/>
  <c r="H649" i="1" s="1"/>
  <c r="L649" i="1"/>
  <c r="I649" i="1" s="1"/>
  <c r="K649" i="1"/>
  <c r="J649" i="1" s="1"/>
  <c r="D649" i="1"/>
  <c r="AQ648" i="1"/>
  <c r="P648" i="1" s="1"/>
  <c r="AJ648" i="1"/>
  <c r="AI648" i="1"/>
  <c r="AH648" i="1"/>
  <c r="AG648" i="1"/>
  <c r="AF648" i="1"/>
  <c r="Q648" i="1"/>
  <c r="N648" i="1"/>
  <c r="G648" i="1" s="1"/>
  <c r="M648" i="1"/>
  <c r="H648" i="1" s="1"/>
  <c r="L648" i="1"/>
  <c r="I648" i="1" s="1"/>
  <c r="K648" i="1"/>
  <c r="J648" i="1" s="1"/>
  <c r="D648" i="1"/>
  <c r="AQ647" i="1"/>
  <c r="P647" i="1" s="1"/>
  <c r="AJ647" i="1"/>
  <c r="AI647" i="1"/>
  <c r="AH647" i="1"/>
  <c r="AG647" i="1"/>
  <c r="AF647" i="1"/>
  <c r="Q647" i="1"/>
  <c r="N647" i="1"/>
  <c r="G647" i="1" s="1"/>
  <c r="M647" i="1"/>
  <c r="H647" i="1" s="1"/>
  <c r="L647" i="1"/>
  <c r="I647" i="1" s="1"/>
  <c r="K647" i="1"/>
  <c r="J647" i="1" s="1"/>
  <c r="D647" i="1"/>
  <c r="AQ646" i="1"/>
  <c r="P646" i="1" s="1"/>
  <c r="AJ646" i="1"/>
  <c r="AI646" i="1"/>
  <c r="AH646" i="1"/>
  <c r="AG646" i="1"/>
  <c r="AF646" i="1"/>
  <c r="Q646" i="1"/>
  <c r="N646" i="1"/>
  <c r="G646" i="1" s="1"/>
  <c r="M646" i="1"/>
  <c r="H646" i="1" s="1"/>
  <c r="L646" i="1"/>
  <c r="I646" i="1" s="1"/>
  <c r="K646" i="1"/>
  <c r="J646" i="1" s="1"/>
  <c r="D646" i="1"/>
  <c r="AQ645" i="1"/>
  <c r="P645" i="1" s="1"/>
  <c r="AJ645" i="1"/>
  <c r="AI645" i="1"/>
  <c r="AH645" i="1"/>
  <c r="AG645" i="1"/>
  <c r="AF645" i="1"/>
  <c r="Q645" i="1"/>
  <c r="D645" i="1"/>
  <c r="AQ644" i="1"/>
  <c r="P644" i="1" s="1"/>
  <c r="AJ644" i="1"/>
  <c r="AI644" i="1"/>
  <c r="AH644" i="1"/>
  <c r="AG644" i="1"/>
  <c r="AF644" i="1"/>
  <c r="Q644" i="1"/>
  <c r="D644" i="1"/>
  <c r="AQ643" i="1"/>
  <c r="P643" i="1" s="1"/>
  <c r="AJ643" i="1"/>
  <c r="AI643" i="1"/>
  <c r="AH643" i="1"/>
  <c r="AG643" i="1"/>
  <c r="AF643" i="1"/>
  <c r="Q643" i="1"/>
  <c r="N643" i="1"/>
  <c r="G643" i="1" s="1"/>
  <c r="M643" i="1"/>
  <c r="H643" i="1" s="1"/>
  <c r="L643" i="1"/>
  <c r="I643" i="1" s="1"/>
  <c r="K643" i="1"/>
  <c r="J643" i="1" s="1"/>
  <c r="D643" i="1"/>
  <c r="AQ642" i="1"/>
  <c r="P642" i="1" s="1"/>
  <c r="AJ642" i="1"/>
  <c r="AI642" i="1"/>
  <c r="AH642" i="1"/>
  <c r="AG642" i="1"/>
  <c r="AF642" i="1"/>
  <c r="Q642" i="1"/>
  <c r="N642" i="1"/>
  <c r="G642" i="1" s="1"/>
  <c r="M642" i="1"/>
  <c r="H642" i="1" s="1"/>
  <c r="L642" i="1"/>
  <c r="I642" i="1" s="1"/>
  <c r="K642" i="1"/>
  <c r="J642" i="1" s="1"/>
  <c r="D642" i="1"/>
  <c r="AQ641" i="1"/>
  <c r="P641" i="1" s="1"/>
  <c r="AJ641" i="1"/>
  <c r="AI641" i="1"/>
  <c r="AH641" i="1"/>
  <c r="AG641" i="1"/>
  <c r="AF641" i="1"/>
  <c r="Q641" i="1"/>
  <c r="N641" i="1"/>
  <c r="G641" i="1" s="1"/>
  <c r="M641" i="1"/>
  <c r="H641" i="1" s="1"/>
  <c r="L641" i="1"/>
  <c r="I641" i="1" s="1"/>
  <c r="K641" i="1"/>
  <c r="J641" i="1" s="1"/>
  <c r="D641" i="1"/>
  <c r="AQ640" i="1"/>
  <c r="P640" i="1" s="1"/>
  <c r="AJ640" i="1"/>
  <c r="AI640" i="1"/>
  <c r="AH640" i="1"/>
  <c r="AG640" i="1"/>
  <c r="AF640" i="1"/>
  <c r="Q640" i="1"/>
  <c r="N640" i="1"/>
  <c r="G640" i="1" s="1"/>
  <c r="M640" i="1"/>
  <c r="H640" i="1" s="1"/>
  <c r="L640" i="1"/>
  <c r="I640" i="1" s="1"/>
  <c r="K640" i="1"/>
  <c r="J640" i="1" s="1"/>
  <c r="D640" i="1"/>
  <c r="AQ639" i="1"/>
  <c r="P639" i="1" s="1"/>
  <c r="AJ639" i="1"/>
  <c r="AI639" i="1"/>
  <c r="AH639" i="1"/>
  <c r="AG639" i="1"/>
  <c r="AF639" i="1"/>
  <c r="Q639" i="1"/>
  <c r="N639" i="1"/>
  <c r="G639" i="1" s="1"/>
  <c r="M639" i="1"/>
  <c r="H639" i="1" s="1"/>
  <c r="L639" i="1"/>
  <c r="I639" i="1" s="1"/>
  <c r="K639" i="1"/>
  <c r="J639" i="1" s="1"/>
  <c r="D639" i="1"/>
  <c r="AQ638" i="1"/>
  <c r="P638" i="1" s="1"/>
  <c r="AJ638" i="1"/>
  <c r="AI638" i="1"/>
  <c r="AH638" i="1"/>
  <c r="AG638" i="1"/>
  <c r="AF638" i="1"/>
  <c r="Q638" i="1"/>
  <c r="N638" i="1"/>
  <c r="G638" i="1" s="1"/>
  <c r="M638" i="1"/>
  <c r="H638" i="1" s="1"/>
  <c r="L638" i="1"/>
  <c r="I638" i="1" s="1"/>
  <c r="K638" i="1"/>
  <c r="J638" i="1" s="1"/>
  <c r="D638" i="1"/>
  <c r="AQ637" i="1"/>
  <c r="P637" i="1" s="1"/>
  <c r="AJ637" i="1"/>
  <c r="AI637" i="1"/>
  <c r="AH637" i="1"/>
  <c r="AG637" i="1"/>
  <c r="AF637" i="1"/>
  <c r="Q637" i="1"/>
  <c r="N637" i="1"/>
  <c r="G637" i="1" s="1"/>
  <c r="M637" i="1"/>
  <c r="H637" i="1" s="1"/>
  <c r="L637" i="1"/>
  <c r="I637" i="1" s="1"/>
  <c r="K637" i="1"/>
  <c r="J637" i="1" s="1"/>
  <c r="D637" i="1"/>
  <c r="AQ636" i="1"/>
  <c r="P636" i="1" s="1"/>
  <c r="AJ636" i="1"/>
  <c r="AI636" i="1"/>
  <c r="AH636" i="1"/>
  <c r="AG636" i="1"/>
  <c r="AF636" i="1"/>
  <c r="Q636" i="1"/>
  <c r="N636" i="1"/>
  <c r="G636" i="1" s="1"/>
  <c r="M636" i="1"/>
  <c r="H636" i="1" s="1"/>
  <c r="L636" i="1"/>
  <c r="I636" i="1" s="1"/>
  <c r="K636" i="1"/>
  <c r="J636" i="1" s="1"/>
  <c r="D636" i="1"/>
  <c r="AQ635" i="1"/>
  <c r="P635" i="1" s="1"/>
  <c r="AJ635" i="1"/>
  <c r="AI635" i="1"/>
  <c r="AH635" i="1"/>
  <c r="AG635" i="1"/>
  <c r="AF635" i="1"/>
  <c r="Q635" i="1"/>
  <c r="D635" i="1"/>
  <c r="AQ634" i="1"/>
  <c r="P634" i="1" s="1"/>
  <c r="AJ634" i="1"/>
  <c r="AI634" i="1"/>
  <c r="AH634" i="1"/>
  <c r="AG634" i="1"/>
  <c r="AF634" i="1"/>
  <c r="Q634" i="1"/>
  <c r="D634" i="1"/>
  <c r="AQ633" i="1"/>
  <c r="P633" i="1" s="1"/>
  <c r="AJ633" i="1"/>
  <c r="AI633" i="1"/>
  <c r="AH633" i="1"/>
  <c r="AG633" i="1"/>
  <c r="AF633" i="1"/>
  <c r="Q633" i="1"/>
  <c r="N633" i="1"/>
  <c r="G633" i="1" s="1"/>
  <c r="M633" i="1"/>
  <c r="H633" i="1" s="1"/>
  <c r="L633" i="1"/>
  <c r="I633" i="1" s="1"/>
  <c r="K633" i="1"/>
  <c r="J633" i="1" s="1"/>
  <c r="D633" i="1"/>
  <c r="AQ632" i="1"/>
  <c r="P632" i="1" s="1"/>
  <c r="AJ632" i="1"/>
  <c r="AI632" i="1"/>
  <c r="AH632" i="1"/>
  <c r="AG632" i="1"/>
  <c r="AF632" i="1"/>
  <c r="Q632" i="1"/>
  <c r="N632" i="1"/>
  <c r="G632" i="1" s="1"/>
  <c r="M632" i="1"/>
  <c r="H632" i="1" s="1"/>
  <c r="L632" i="1"/>
  <c r="I632" i="1" s="1"/>
  <c r="K632" i="1"/>
  <c r="J632" i="1" s="1"/>
  <c r="D632" i="1"/>
  <c r="AQ631" i="1"/>
  <c r="P631" i="1" s="1"/>
  <c r="AJ631" i="1"/>
  <c r="AI631" i="1"/>
  <c r="AH631" i="1"/>
  <c r="AG631" i="1"/>
  <c r="AF631" i="1"/>
  <c r="Q631" i="1"/>
  <c r="N631" i="1"/>
  <c r="G631" i="1" s="1"/>
  <c r="M631" i="1"/>
  <c r="H631" i="1" s="1"/>
  <c r="L631" i="1"/>
  <c r="I631" i="1" s="1"/>
  <c r="K631" i="1"/>
  <c r="J631" i="1" s="1"/>
  <c r="D631" i="1"/>
  <c r="AQ630" i="1"/>
  <c r="P630" i="1" s="1"/>
  <c r="AJ630" i="1"/>
  <c r="AI630" i="1"/>
  <c r="AH630" i="1"/>
  <c r="AG630" i="1"/>
  <c r="AF630" i="1"/>
  <c r="Q630" i="1"/>
  <c r="N630" i="1"/>
  <c r="G630" i="1" s="1"/>
  <c r="M630" i="1"/>
  <c r="H630" i="1" s="1"/>
  <c r="L630" i="1"/>
  <c r="I630" i="1" s="1"/>
  <c r="K630" i="1"/>
  <c r="J630" i="1" s="1"/>
  <c r="D630" i="1"/>
  <c r="AQ629" i="1"/>
  <c r="P629" i="1" s="1"/>
  <c r="AJ629" i="1"/>
  <c r="AI629" i="1"/>
  <c r="AH629" i="1"/>
  <c r="AG629" i="1"/>
  <c r="AF629" i="1"/>
  <c r="Q629" i="1"/>
  <c r="N629" i="1"/>
  <c r="G629" i="1" s="1"/>
  <c r="M629" i="1"/>
  <c r="H629" i="1" s="1"/>
  <c r="L629" i="1"/>
  <c r="I629" i="1" s="1"/>
  <c r="K629" i="1"/>
  <c r="J629" i="1" s="1"/>
  <c r="D629" i="1"/>
  <c r="AQ628" i="1"/>
  <c r="P628" i="1" s="1"/>
  <c r="AJ628" i="1"/>
  <c r="AI628" i="1"/>
  <c r="AH628" i="1"/>
  <c r="AG628" i="1"/>
  <c r="AF628" i="1"/>
  <c r="Q628" i="1"/>
  <c r="N628" i="1"/>
  <c r="G628" i="1" s="1"/>
  <c r="M628" i="1"/>
  <c r="H628" i="1" s="1"/>
  <c r="L628" i="1"/>
  <c r="I628" i="1" s="1"/>
  <c r="K628" i="1"/>
  <c r="J628" i="1" s="1"/>
  <c r="D628" i="1"/>
  <c r="AQ627" i="1"/>
  <c r="P627" i="1" s="1"/>
  <c r="AJ627" i="1"/>
  <c r="AI627" i="1"/>
  <c r="AH627" i="1"/>
  <c r="AG627" i="1"/>
  <c r="AF627" i="1"/>
  <c r="Q627" i="1"/>
  <c r="N627" i="1"/>
  <c r="G627" i="1" s="1"/>
  <c r="M627" i="1"/>
  <c r="H627" i="1" s="1"/>
  <c r="L627" i="1"/>
  <c r="I627" i="1" s="1"/>
  <c r="K627" i="1"/>
  <c r="J627" i="1" s="1"/>
  <c r="D627" i="1"/>
  <c r="AQ626" i="1"/>
  <c r="P626" i="1" s="1"/>
  <c r="AJ626" i="1"/>
  <c r="AI626" i="1"/>
  <c r="AH626" i="1"/>
  <c r="AG626" i="1"/>
  <c r="AF626" i="1"/>
  <c r="Q626" i="1"/>
  <c r="N626" i="1"/>
  <c r="G626" i="1" s="1"/>
  <c r="M626" i="1"/>
  <c r="H626" i="1" s="1"/>
  <c r="L626" i="1"/>
  <c r="I626" i="1" s="1"/>
  <c r="K626" i="1"/>
  <c r="J626" i="1" s="1"/>
  <c r="D626" i="1"/>
  <c r="AQ625" i="1"/>
  <c r="P625" i="1" s="1"/>
  <c r="AJ625" i="1"/>
  <c r="AI625" i="1"/>
  <c r="AH625" i="1"/>
  <c r="AG625" i="1"/>
  <c r="AF625" i="1"/>
  <c r="Q625" i="1"/>
  <c r="D625" i="1"/>
  <c r="AQ624" i="1"/>
  <c r="P624" i="1" s="1"/>
  <c r="AJ624" i="1"/>
  <c r="AI624" i="1"/>
  <c r="AH624" i="1"/>
  <c r="AG624" i="1"/>
  <c r="AF624" i="1"/>
  <c r="Q624" i="1"/>
  <c r="D624" i="1"/>
  <c r="AQ623" i="1"/>
  <c r="P623" i="1" s="1"/>
  <c r="AJ623" i="1"/>
  <c r="AI623" i="1"/>
  <c r="AH623" i="1"/>
  <c r="AG623" i="1"/>
  <c r="AF623" i="1"/>
  <c r="Q623" i="1"/>
  <c r="N623" i="1"/>
  <c r="G623" i="1" s="1"/>
  <c r="M623" i="1"/>
  <c r="H623" i="1" s="1"/>
  <c r="L623" i="1"/>
  <c r="I623" i="1" s="1"/>
  <c r="K623" i="1"/>
  <c r="J623" i="1" s="1"/>
  <c r="D623" i="1"/>
  <c r="AQ622" i="1"/>
  <c r="P622" i="1" s="1"/>
  <c r="AJ622" i="1"/>
  <c r="AI622" i="1"/>
  <c r="AH622" i="1"/>
  <c r="AG622" i="1"/>
  <c r="AF622" i="1"/>
  <c r="Q622" i="1"/>
  <c r="N622" i="1"/>
  <c r="G622" i="1" s="1"/>
  <c r="M622" i="1"/>
  <c r="H622" i="1" s="1"/>
  <c r="L622" i="1"/>
  <c r="I622" i="1" s="1"/>
  <c r="K622" i="1"/>
  <c r="J622" i="1" s="1"/>
  <c r="D622" i="1"/>
  <c r="AQ621" i="1"/>
  <c r="P621" i="1" s="1"/>
  <c r="AJ621" i="1"/>
  <c r="AI621" i="1"/>
  <c r="AH621" i="1"/>
  <c r="AG621" i="1"/>
  <c r="AF621" i="1"/>
  <c r="Q621" i="1"/>
  <c r="N621" i="1"/>
  <c r="G621" i="1" s="1"/>
  <c r="M621" i="1"/>
  <c r="H621" i="1" s="1"/>
  <c r="L621" i="1"/>
  <c r="I621" i="1" s="1"/>
  <c r="K621" i="1"/>
  <c r="J621" i="1" s="1"/>
  <c r="D621" i="1"/>
  <c r="AQ620" i="1"/>
  <c r="P620" i="1" s="1"/>
  <c r="AJ620" i="1"/>
  <c r="AI620" i="1"/>
  <c r="AH620" i="1"/>
  <c r="AG620" i="1"/>
  <c r="AF620" i="1"/>
  <c r="Q620" i="1"/>
  <c r="N620" i="1"/>
  <c r="G620" i="1" s="1"/>
  <c r="M620" i="1"/>
  <c r="H620" i="1" s="1"/>
  <c r="L620" i="1"/>
  <c r="I620" i="1" s="1"/>
  <c r="K620" i="1"/>
  <c r="J620" i="1" s="1"/>
  <c r="D620" i="1"/>
  <c r="AQ619" i="1"/>
  <c r="P619" i="1" s="1"/>
  <c r="AJ619" i="1"/>
  <c r="AI619" i="1"/>
  <c r="AH619" i="1"/>
  <c r="AG619" i="1"/>
  <c r="AF619" i="1"/>
  <c r="Q619" i="1"/>
  <c r="N619" i="1"/>
  <c r="G619" i="1" s="1"/>
  <c r="M619" i="1"/>
  <c r="H619" i="1" s="1"/>
  <c r="L619" i="1"/>
  <c r="I619" i="1" s="1"/>
  <c r="K619" i="1"/>
  <c r="J619" i="1" s="1"/>
  <c r="D619" i="1"/>
  <c r="AQ618" i="1"/>
  <c r="P618" i="1" s="1"/>
  <c r="AJ618" i="1"/>
  <c r="AI618" i="1"/>
  <c r="AH618" i="1"/>
  <c r="AG618" i="1"/>
  <c r="AF618" i="1"/>
  <c r="Q618" i="1"/>
  <c r="N618" i="1"/>
  <c r="G618" i="1" s="1"/>
  <c r="M618" i="1"/>
  <c r="H618" i="1" s="1"/>
  <c r="L618" i="1"/>
  <c r="I618" i="1" s="1"/>
  <c r="K618" i="1"/>
  <c r="J618" i="1" s="1"/>
  <c r="D618" i="1"/>
  <c r="AQ617" i="1"/>
  <c r="P617" i="1" s="1"/>
  <c r="AJ617" i="1"/>
  <c r="AI617" i="1"/>
  <c r="AH617" i="1"/>
  <c r="AG617" i="1"/>
  <c r="AF617" i="1"/>
  <c r="Q617" i="1"/>
  <c r="N617" i="1"/>
  <c r="G617" i="1" s="1"/>
  <c r="M617" i="1"/>
  <c r="H617" i="1" s="1"/>
  <c r="L617" i="1"/>
  <c r="I617" i="1" s="1"/>
  <c r="K617" i="1"/>
  <c r="J617" i="1" s="1"/>
  <c r="D617" i="1"/>
  <c r="AQ616" i="1"/>
  <c r="P616" i="1" s="1"/>
  <c r="AJ616" i="1"/>
  <c r="AI616" i="1"/>
  <c r="AH616" i="1"/>
  <c r="AG616" i="1"/>
  <c r="AF616" i="1"/>
  <c r="Q616" i="1"/>
  <c r="N616" i="1"/>
  <c r="G616" i="1" s="1"/>
  <c r="M616" i="1"/>
  <c r="H616" i="1" s="1"/>
  <c r="L616" i="1"/>
  <c r="I616" i="1" s="1"/>
  <c r="K616" i="1"/>
  <c r="J616" i="1" s="1"/>
  <c r="D616" i="1"/>
  <c r="AQ615" i="1"/>
  <c r="P615" i="1" s="1"/>
  <c r="AJ615" i="1"/>
  <c r="AI615" i="1"/>
  <c r="AH615" i="1"/>
  <c r="AG615" i="1"/>
  <c r="AF615" i="1"/>
  <c r="Q615" i="1"/>
  <c r="N615" i="1"/>
  <c r="G615" i="1" s="1"/>
  <c r="M615" i="1"/>
  <c r="H615" i="1" s="1"/>
  <c r="L615" i="1"/>
  <c r="I615" i="1" s="1"/>
  <c r="K615" i="1"/>
  <c r="J615" i="1" s="1"/>
  <c r="D615" i="1"/>
  <c r="AQ614" i="1"/>
  <c r="P614" i="1" s="1"/>
  <c r="AJ614" i="1"/>
  <c r="AI614" i="1"/>
  <c r="AH614" i="1"/>
  <c r="AG614" i="1"/>
  <c r="AF614" i="1"/>
  <c r="Q614" i="1"/>
  <c r="N614" i="1"/>
  <c r="G614" i="1" s="1"/>
  <c r="M614" i="1"/>
  <c r="H614" i="1" s="1"/>
  <c r="L614" i="1"/>
  <c r="I614" i="1" s="1"/>
  <c r="K614" i="1"/>
  <c r="J614" i="1" s="1"/>
  <c r="D614" i="1"/>
  <c r="AQ613" i="1"/>
  <c r="P613" i="1" s="1"/>
  <c r="AJ613" i="1"/>
  <c r="AI613" i="1"/>
  <c r="AH613" i="1"/>
  <c r="AG613" i="1"/>
  <c r="AF613" i="1"/>
  <c r="Q613" i="1"/>
  <c r="N613" i="1"/>
  <c r="G613" i="1" s="1"/>
  <c r="M613" i="1"/>
  <c r="H613" i="1" s="1"/>
  <c r="L613" i="1"/>
  <c r="I613" i="1" s="1"/>
  <c r="K613" i="1"/>
  <c r="J613" i="1" s="1"/>
  <c r="D613" i="1"/>
  <c r="AQ612" i="1"/>
  <c r="P612" i="1" s="1"/>
  <c r="AJ612" i="1"/>
  <c r="AI612" i="1"/>
  <c r="AH612" i="1"/>
  <c r="AG612" i="1"/>
  <c r="AF612" i="1"/>
  <c r="Q612" i="1"/>
  <c r="N612" i="1"/>
  <c r="G612" i="1" s="1"/>
  <c r="M612" i="1"/>
  <c r="H612" i="1" s="1"/>
  <c r="L612" i="1"/>
  <c r="I612" i="1" s="1"/>
  <c r="K612" i="1"/>
  <c r="J612" i="1" s="1"/>
  <c r="D612" i="1"/>
  <c r="AQ611" i="1"/>
  <c r="P611" i="1" s="1"/>
  <c r="AJ611" i="1"/>
  <c r="AI611" i="1"/>
  <c r="AH611" i="1"/>
  <c r="AG611" i="1"/>
  <c r="AF611" i="1"/>
  <c r="Q611" i="1"/>
  <c r="D611" i="1"/>
  <c r="AQ610" i="1"/>
  <c r="P610" i="1" s="1"/>
  <c r="AJ610" i="1"/>
  <c r="AI610" i="1"/>
  <c r="AH610" i="1"/>
  <c r="AG610" i="1"/>
  <c r="AF610" i="1"/>
  <c r="Q610" i="1"/>
  <c r="D610" i="1"/>
  <c r="AQ609" i="1"/>
  <c r="P609" i="1" s="1"/>
  <c r="AJ609" i="1"/>
  <c r="AI609" i="1"/>
  <c r="AH609" i="1"/>
  <c r="AG609" i="1"/>
  <c r="AF609" i="1"/>
  <c r="Q609" i="1"/>
  <c r="D609" i="1"/>
  <c r="AQ608" i="1"/>
  <c r="P608" i="1" s="1"/>
  <c r="AJ608" i="1"/>
  <c r="AI608" i="1"/>
  <c r="AH608" i="1"/>
  <c r="AG608" i="1"/>
  <c r="AF608" i="1"/>
  <c r="Q608" i="1"/>
  <c r="N608" i="1"/>
  <c r="G608" i="1" s="1"/>
  <c r="M608" i="1"/>
  <c r="H608" i="1" s="1"/>
  <c r="L608" i="1"/>
  <c r="I608" i="1" s="1"/>
  <c r="K608" i="1"/>
  <c r="J608" i="1" s="1"/>
  <c r="D608" i="1"/>
  <c r="AQ607" i="1"/>
  <c r="P607" i="1" s="1"/>
  <c r="AJ607" i="1"/>
  <c r="AI607" i="1"/>
  <c r="AH607" i="1"/>
  <c r="AG607" i="1"/>
  <c r="AF607" i="1"/>
  <c r="Q607" i="1"/>
  <c r="N607" i="1"/>
  <c r="G607" i="1" s="1"/>
  <c r="M607" i="1"/>
  <c r="H607" i="1" s="1"/>
  <c r="L607" i="1"/>
  <c r="I607" i="1" s="1"/>
  <c r="K607" i="1"/>
  <c r="J607" i="1" s="1"/>
  <c r="D607" i="1"/>
  <c r="AQ606" i="1"/>
  <c r="P606" i="1" s="1"/>
  <c r="AJ606" i="1"/>
  <c r="AI606" i="1"/>
  <c r="AH606" i="1"/>
  <c r="AG606" i="1"/>
  <c r="AF606" i="1"/>
  <c r="Q606" i="1"/>
  <c r="N606" i="1"/>
  <c r="G606" i="1" s="1"/>
  <c r="M606" i="1"/>
  <c r="H606" i="1" s="1"/>
  <c r="L606" i="1"/>
  <c r="I606" i="1" s="1"/>
  <c r="K606" i="1"/>
  <c r="J606" i="1" s="1"/>
  <c r="D606" i="1"/>
  <c r="AQ605" i="1"/>
  <c r="P605" i="1" s="1"/>
  <c r="AJ605" i="1"/>
  <c r="AI605" i="1"/>
  <c r="AH605" i="1"/>
  <c r="AG605" i="1"/>
  <c r="AF605" i="1"/>
  <c r="Q605" i="1"/>
  <c r="N605" i="1"/>
  <c r="G605" i="1" s="1"/>
  <c r="M605" i="1"/>
  <c r="H605" i="1" s="1"/>
  <c r="L605" i="1"/>
  <c r="I605" i="1" s="1"/>
  <c r="K605" i="1"/>
  <c r="J605" i="1" s="1"/>
  <c r="D605" i="1"/>
  <c r="AQ604" i="1"/>
  <c r="P604" i="1" s="1"/>
  <c r="AJ604" i="1"/>
  <c r="AI604" i="1"/>
  <c r="AH604" i="1"/>
  <c r="AG604" i="1"/>
  <c r="AF604" i="1"/>
  <c r="Q604" i="1"/>
  <c r="N604" i="1"/>
  <c r="G604" i="1" s="1"/>
  <c r="M604" i="1"/>
  <c r="H604" i="1" s="1"/>
  <c r="L604" i="1"/>
  <c r="I604" i="1" s="1"/>
  <c r="K604" i="1"/>
  <c r="J604" i="1" s="1"/>
  <c r="D604" i="1"/>
  <c r="AQ603" i="1"/>
  <c r="P603" i="1" s="1"/>
  <c r="AJ603" i="1"/>
  <c r="AI603" i="1"/>
  <c r="AH603" i="1"/>
  <c r="AG603" i="1"/>
  <c r="AF603" i="1"/>
  <c r="Q603" i="1"/>
  <c r="N603" i="1"/>
  <c r="G603" i="1" s="1"/>
  <c r="M603" i="1"/>
  <c r="H603" i="1" s="1"/>
  <c r="L603" i="1"/>
  <c r="I603" i="1" s="1"/>
  <c r="K603" i="1"/>
  <c r="J603" i="1" s="1"/>
  <c r="D603" i="1"/>
  <c r="AQ602" i="1"/>
  <c r="P602" i="1" s="1"/>
  <c r="AJ602" i="1"/>
  <c r="AI602" i="1"/>
  <c r="AH602" i="1"/>
  <c r="AG602" i="1"/>
  <c r="AF602" i="1"/>
  <c r="Q602" i="1"/>
  <c r="N602" i="1"/>
  <c r="G602" i="1" s="1"/>
  <c r="M602" i="1"/>
  <c r="H602" i="1" s="1"/>
  <c r="L602" i="1"/>
  <c r="I602" i="1" s="1"/>
  <c r="K602" i="1"/>
  <c r="J602" i="1" s="1"/>
  <c r="D602" i="1"/>
  <c r="AQ601" i="1"/>
  <c r="P601" i="1" s="1"/>
  <c r="AJ601" i="1"/>
  <c r="AI601" i="1"/>
  <c r="AH601" i="1"/>
  <c r="AG601" i="1"/>
  <c r="AF601" i="1"/>
  <c r="Q601" i="1"/>
  <c r="N601" i="1"/>
  <c r="G601" i="1" s="1"/>
  <c r="M601" i="1"/>
  <c r="H601" i="1" s="1"/>
  <c r="L601" i="1"/>
  <c r="I601" i="1" s="1"/>
  <c r="K601" i="1"/>
  <c r="J601" i="1" s="1"/>
  <c r="D601" i="1"/>
  <c r="AQ600" i="1"/>
  <c r="P600" i="1" s="1"/>
  <c r="AJ600" i="1"/>
  <c r="AI600" i="1"/>
  <c r="AH600" i="1"/>
  <c r="AG600" i="1"/>
  <c r="AF600" i="1"/>
  <c r="Q600" i="1"/>
  <c r="N600" i="1"/>
  <c r="G600" i="1" s="1"/>
  <c r="M600" i="1"/>
  <c r="H600" i="1" s="1"/>
  <c r="L600" i="1"/>
  <c r="I600" i="1" s="1"/>
  <c r="K600" i="1"/>
  <c r="J600" i="1" s="1"/>
  <c r="D600" i="1"/>
  <c r="AQ599" i="1"/>
  <c r="P599" i="1" s="1"/>
  <c r="AJ599" i="1"/>
  <c r="AI599" i="1"/>
  <c r="AH599" i="1"/>
  <c r="AG599" i="1"/>
  <c r="AF599" i="1"/>
  <c r="Q599" i="1"/>
  <c r="N599" i="1"/>
  <c r="G599" i="1" s="1"/>
  <c r="M599" i="1"/>
  <c r="H599" i="1" s="1"/>
  <c r="L599" i="1"/>
  <c r="I599" i="1" s="1"/>
  <c r="K599" i="1"/>
  <c r="J599" i="1" s="1"/>
  <c r="D599" i="1"/>
  <c r="AQ598" i="1"/>
  <c r="P598" i="1" s="1"/>
  <c r="AJ598" i="1"/>
  <c r="AI598" i="1"/>
  <c r="AH598" i="1"/>
  <c r="AG598" i="1"/>
  <c r="AF598" i="1"/>
  <c r="Q598" i="1"/>
  <c r="N598" i="1"/>
  <c r="G598" i="1" s="1"/>
  <c r="M598" i="1"/>
  <c r="H598" i="1" s="1"/>
  <c r="L598" i="1"/>
  <c r="I598" i="1" s="1"/>
  <c r="K598" i="1"/>
  <c r="J598" i="1" s="1"/>
  <c r="D598" i="1"/>
  <c r="AQ597" i="1"/>
  <c r="P597" i="1" s="1"/>
  <c r="AJ597" i="1"/>
  <c r="AI597" i="1"/>
  <c r="AH597" i="1"/>
  <c r="AG597" i="1"/>
  <c r="AF597" i="1"/>
  <c r="Q597" i="1"/>
  <c r="N597" i="1"/>
  <c r="G597" i="1" s="1"/>
  <c r="M597" i="1"/>
  <c r="H597" i="1" s="1"/>
  <c r="L597" i="1"/>
  <c r="I597" i="1" s="1"/>
  <c r="K597" i="1"/>
  <c r="J597" i="1" s="1"/>
  <c r="D597" i="1"/>
  <c r="AQ596" i="1"/>
  <c r="P596" i="1" s="1"/>
  <c r="AJ596" i="1"/>
  <c r="AI596" i="1"/>
  <c r="AH596" i="1"/>
  <c r="AG596" i="1"/>
  <c r="AF596" i="1"/>
  <c r="Q596" i="1"/>
  <c r="D596" i="1"/>
  <c r="AQ595" i="1"/>
  <c r="P595" i="1" s="1"/>
  <c r="AJ595" i="1"/>
  <c r="AI595" i="1"/>
  <c r="AH595" i="1"/>
  <c r="AG595" i="1"/>
  <c r="AF595" i="1"/>
  <c r="Q595" i="1"/>
  <c r="D595" i="1"/>
  <c r="AQ594" i="1"/>
  <c r="P594" i="1" s="1"/>
  <c r="AJ594" i="1"/>
  <c r="AI594" i="1"/>
  <c r="AH594" i="1"/>
  <c r="AG594" i="1"/>
  <c r="AF594" i="1"/>
  <c r="Q594" i="1"/>
  <c r="D594" i="1"/>
  <c r="AQ513" i="1"/>
  <c r="P513" i="1" s="1"/>
  <c r="AJ513" i="1"/>
  <c r="AI513" i="1"/>
  <c r="AH513" i="1"/>
  <c r="AG513" i="1"/>
  <c r="AF513" i="1"/>
  <c r="Q513" i="1"/>
  <c r="N513" i="1"/>
  <c r="G513" i="1" s="1"/>
  <c r="M513" i="1"/>
  <c r="H513" i="1" s="1"/>
  <c r="L513" i="1"/>
  <c r="I513" i="1" s="1"/>
  <c r="K513" i="1"/>
  <c r="J513" i="1" s="1"/>
  <c r="D513" i="1"/>
  <c r="AQ512" i="1"/>
  <c r="P512" i="1" s="1"/>
  <c r="AJ512" i="1"/>
  <c r="AI512" i="1"/>
  <c r="AH512" i="1"/>
  <c r="AG512" i="1"/>
  <c r="AF512" i="1"/>
  <c r="Q512" i="1"/>
  <c r="N512" i="1"/>
  <c r="G512" i="1" s="1"/>
  <c r="M512" i="1"/>
  <c r="H512" i="1" s="1"/>
  <c r="L512" i="1"/>
  <c r="I512" i="1" s="1"/>
  <c r="K512" i="1"/>
  <c r="J512" i="1" s="1"/>
  <c r="D512" i="1"/>
  <c r="AQ511" i="1"/>
  <c r="P511" i="1" s="1"/>
  <c r="AJ511" i="1"/>
  <c r="AI511" i="1"/>
  <c r="AH511" i="1"/>
  <c r="AG511" i="1"/>
  <c r="AF511" i="1"/>
  <c r="Q511" i="1"/>
  <c r="N511" i="1"/>
  <c r="G511" i="1" s="1"/>
  <c r="M511" i="1"/>
  <c r="H511" i="1" s="1"/>
  <c r="L511" i="1"/>
  <c r="I511" i="1" s="1"/>
  <c r="K511" i="1"/>
  <c r="J511" i="1" s="1"/>
  <c r="D511" i="1"/>
  <c r="AQ510" i="1"/>
  <c r="P510" i="1" s="1"/>
  <c r="AJ510" i="1"/>
  <c r="AI510" i="1"/>
  <c r="AH510" i="1"/>
  <c r="AG510" i="1"/>
  <c r="AF510" i="1"/>
  <c r="Q510" i="1"/>
  <c r="N510" i="1"/>
  <c r="G510" i="1" s="1"/>
  <c r="M510" i="1"/>
  <c r="H510" i="1" s="1"/>
  <c r="L510" i="1"/>
  <c r="I510" i="1" s="1"/>
  <c r="K510" i="1"/>
  <c r="J510" i="1" s="1"/>
  <c r="D510" i="1"/>
  <c r="AQ509" i="1"/>
  <c r="P509" i="1" s="1"/>
  <c r="AJ509" i="1"/>
  <c r="AI509" i="1"/>
  <c r="AH509" i="1"/>
  <c r="AG509" i="1"/>
  <c r="AF509" i="1"/>
  <c r="Q509" i="1"/>
  <c r="N509" i="1"/>
  <c r="G509" i="1" s="1"/>
  <c r="M509" i="1"/>
  <c r="H509" i="1" s="1"/>
  <c r="L509" i="1"/>
  <c r="I509" i="1" s="1"/>
  <c r="K509" i="1"/>
  <c r="J509" i="1" s="1"/>
  <c r="D509" i="1"/>
  <c r="AQ508" i="1"/>
  <c r="P508" i="1" s="1"/>
  <c r="AJ508" i="1"/>
  <c r="AI508" i="1"/>
  <c r="AH508" i="1"/>
  <c r="AG508" i="1"/>
  <c r="AF508" i="1"/>
  <c r="Q508" i="1"/>
  <c r="N508" i="1"/>
  <c r="G508" i="1" s="1"/>
  <c r="M508" i="1"/>
  <c r="H508" i="1" s="1"/>
  <c r="L508" i="1"/>
  <c r="I508" i="1" s="1"/>
  <c r="K508" i="1"/>
  <c r="J508" i="1" s="1"/>
  <c r="D508" i="1"/>
  <c r="AQ507" i="1"/>
  <c r="P507" i="1" s="1"/>
  <c r="AJ507" i="1"/>
  <c r="AI507" i="1"/>
  <c r="AH507" i="1"/>
  <c r="AG507" i="1"/>
  <c r="AF507" i="1"/>
  <c r="Q507" i="1"/>
  <c r="N507" i="1"/>
  <c r="G507" i="1" s="1"/>
  <c r="M507" i="1"/>
  <c r="H507" i="1" s="1"/>
  <c r="L507" i="1"/>
  <c r="I507" i="1" s="1"/>
  <c r="K507" i="1"/>
  <c r="J507" i="1" s="1"/>
  <c r="D507" i="1"/>
  <c r="AQ506" i="1"/>
  <c r="P506" i="1" s="1"/>
  <c r="AJ506" i="1"/>
  <c r="AI506" i="1"/>
  <c r="AH506" i="1"/>
  <c r="AG506" i="1"/>
  <c r="AF506" i="1"/>
  <c r="Q506" i="1"/>
  <c r="N506" i="1"/>
  <c r="G506" i="1" s="1"/>
  <c r="M506" i="1"/>
  <c r="H506" i="1" s="1"/>
  <c r="L506" i="1"/>
  <c r="I506" i="1" s="1"/>
  <c r="K506" i="1"/>
  <c r="J506" i="1" s="1"/>
  <c r="D506" i="1"/>
  <c r="AQ505" i="1"/>
  <c r="P505" i="1" s="1"/>
  <c r="AJ505" i="1"/>
  <c r="AI505" i="1"/>
  <c r="AH505" i="1"/>
  <c r="AG505" i="1"/>
  <c r="AF505" i="1"/>
  <c r="Q505" i="1"/>
  <c r="D505" i="1"/>
  <c r="AQ504" i="1"/>
  <c r="P504" i="1" s="1"/>
  <c r="AJ504" i="1"/>
  <c r="AI504" i="1"/>
  <c r="AH504" i="1"/>
  <c r="AG504" i="1"/>
  <c r="AF504" i="1"/>
  <c r="Q504" i="1"/>
  <c r="D504" i="1"/>
  <c r="AQ503" i="1"/>
  <c r="P503" i="1" s="1"/>
  <c r="AJ503" i="1"/>
  <c r="AI503" i="1"/>
  <c r="AH503" i="1"/>
  <c r="AG503" i="1"/>
  <c r="AF503" i="1"/>
  <c r="Q503" i="1"/>
  <c r="N503" i="1"/>
  <c r="G503" i="1" s="1"/>
  <c r="M503" i="1"/>
  <c r="H503" i="1" s="1"/>
  <c r="L503" i="1"/>
  <c r="I503" i="1" s="1"/>
  <c r="K503" i="1"/>
  <c r="J503" i="1" s="1"/>
  <c r="D503" i="1"/>
  <c r="AQ502" i="1"/>
  <c r="P502" i="1" s="1"/>
  <c r="AJ502" i="1"/>
  <c r="AI502" i="1"/>
  <c r="AH502" i="1"/>
  <c r="AG502" i="1"/>
  <c r="AF502" i="1"/>
  <c r="Q502" i="1"/>
  <c r="N502" i="1"/>
  <c r="G502" i="1" s="1"/>
  <c r="M502" i="1"/>
  <c r="H502" i="1" s="1"/>
  <c r="L502" i="1"/>
  <c r="I502" i="1" s="1"/>
  <c r="K502" i="1"/>
  <c r="J502" i="1" s="1"/>
  <c r="D502" i="1"/>
  <c r="AQ501" i="1"/>
  <c r="P501" i="1" s="1"/>
  <c r="AJ501" i="1"/>
  <c r="AI501" i="1"/>
  <c r="AH501" i="1"/>
  <c r="AG501" i="1"/>
  <c r="AF501" i="1"/>
  <c r="Q501" i="1"/>
  <c r="N501" i="1"/>
  <c r="G501" i="1" s="1"/>
  <c r="M501" i="1"/>
  <c r="H501" i="1" s="1"/>
  <c r="L501" i="1"/>
  <c r="I501" i="1" s="1"/>
  <c r="K501" i="1"/>
  <c r="J501" i="1" s="1"/>
  <c r="D501" i="1"/>
  <c r="AQ500" i="1"/>
  <c r="P500" i="1" s="1"/>
  <c r="AJ500" i="1"/>
  <c r="AI500" i="1"/>
  <c r="AH500" i="1"/>
  <c r="AG500" i="1"/>
  <c r="AF500" i="1"/>
  <c r="Q500" i="1"/>
  <c r="N500" i="1"/>
  <c r="G500" i="1" s="1"/>
  <c r="M500" i="1"/>
  <c r="H500" i="1" s="1"/>
  <c r="L500" i="1"/>
  <c r="I500" i="1" s="1"/>
  <c r="K500" i="1"/>
  <c r="J500" i="1" s="1"/>
  <c r="D500" i="1"/>
  <c r="AQ499" i="1"/>
  <c r="P499" i="1" s="1"/>
  <c r="AJ499" i="1"/>
  <c r="AI499" i="1"/>
  <c r="AH499" i="1"/>
  <c r="AG499" i="1"/>
  <c r="AF499" i="1"/>
  <c r="Q499" i="1"/>
  <c r="N499" i="1"/>
  <c r="G499" i="1" s="1"/>
  <c r="M499" i="1"/>
  <c r="H499" i="1" s="1"/>
  <c r="L499" i="1"/>
  <c r="I499" i="1" s="1"/>
  <c r="K499" i="1"/>
  <c r="J499" i="1" s="1"/>
  <c r="D499" i="1"/>
  <c r="AQ498" i="1"/>
  <c r="P498" i="1" s="1"/>
  <c r="AJ498" i="1"/>
  <c r="AI498" i="1"/>
  <c r="AH498" i="1"/>
  <c r="AG498" i="1"/>
  <c r="AF498" i="1"/>
  <c r="Q498" i="1"/>
  <c r="N498" i="1"/>
  <c r="G498" i="1" s="1"/>
  <c r="M498" i="1"/>
  <c r="H498" i="1" s="1"/>
  <c r="L498" i="1"/>
  <c r="I498" i="1" s="1"/>
  <c r="K498" i="1"/>
  <c r="J498" i="1" s="1"/>
  <c r="D498" i="1"/>
  <c r="AQ497" i="1"/>
  <c r="P497" i="1" s="1"/>
  <c r="AJ497" i="1"/>
  <c r="AI497" i="1"/>
  <c r="AH497" i="1"/>
  <c r="AG497" i="1"/>
  <c r="AF497" i="1"/>
  <c r="Q497" i="1"/>
  <c r="N497" i="1"/>
  <c r="G497" i="1" s="1"/>
  <c r="M497" i="1"/>
  <c r="H497" i="1" s="1"/>
  <c r="L497" i="1"/>
  <c r="I497" i="1" s="1"/>
  <c r="K497" i="1"/>
  <c r="J497" i="1" s="1"/>
  <c r="D497" i="1"/>
  <c r="AQ496" i="1"/>
  <c r="P496" i="1" s="1"/>
  <c r="AJ496" i="1"/>
  <c r="AI496" i="1"/>
  <c r="AH496" i="1"/>
  <c r="AG496" i="1"/>
  <c r="AF496" i="1"/>
  <c r="Q496" i="1"/>
  <c r="N496" i="1"/>
  <c r="G496" i="1" s="1"/>
  <c r="M496" i="1"/>
  <c r="H496" i="1" s="1"/>
  <c r="L496" i="1"/>
  <c r="I496" i="1" s="1"/>
  <c r="K496" i="1"/>
  <c r="J496" i="1" s="1"/>
  <c r="D496" i="1"/>
  <c r="AQ495" i="1"/>
  <c r="P495" i="1" s="1"/>
  <c r="AJ495" i="1"/>
  <c r="AI495" i="1"/>
  <c r="AH495" i="1"/>
  <c r="AG495" i="1"/>
  <c r="AF495" i="1"/>
  <c r="Q495" i="1"/>
  <c r="D495" i="1"/>
  <c r="AQ494" i="1"/>
  <c r="P494" i="1" s="1"/>
  <c r="AJ494" i="1"/>
  <c r="AI494" i="1"/>
  <c r="AH494" i="1"/>
  <c r="AG494" i="1"/>
  <c r="AF494" i="1"/>
  <c r="Q494" i="1"/>
  <c r="D494" i="1"/>
  <c r="AQ493" i="1"/>
  <c r="P493" i="1" s="1"/>
  <c r="AJ493" i="1"/>
  <c r="AI493" i="1"/>
  <c r="AH493" i="1"/>
  <c r="AG493" i="1"/>
  <c r="AF493" i="1"/>
  <c r="Q493" i="1"/>
  <c r="N493" i="1"/>
  <c r="G493" i="1" s="1"/>
  <c r="M493" i="1"/>
  <c r="H493" i="1" s="1"/>
  <c r="L493" i="1"/>
  <c r="I493" i="1" s="1"/>
  <c r="K493" i="1"/>
  <c r="J493" i="1" s="1"/>
  <c r="D493" i="1"/>
  <c r="AQ492" i="1"/>
  <c r="P492" i="1" s="1"/>
  <c r="AJ492" i="1"/>
  <c r="AI492" i="1"/>
  <c r="AH492" i="1"/>
  <c r="AG492" i="1"/>
  <c r="AF492" i="1"/>
  <c r="Q492" i="1"/>
  <c r="N492" i="1"/>
  <c r="G492" i="1" s="1"/>
  <c r="M492" i="1"/>
  <c r="H492" i="1" s="1"/>
  <c r="L492" i="1"/>
  <c r="I492" i="1" s="1"/>
  <c r="K492" i="1"/>
  <c r="J492" i="1" s="1"/>
  <c r="D492" i="1"/>
  <c r="AQ491" i="1"/>
  <c r="P491" i="1" s="1"/>
  <c r="AJ491" i="1"/>
  <c r="AI491" i="1"/>
  <c r="AH491" i="1"/>
  <c r="AG491" i="1"/>
  <c r="AF491" i="1"/>
  <c r="Q491" i="1"/>
  <c r="N491" i="1"/>
  <c r="G491" i="1" s="1"/>
  <c r="M491" i="1"/>
  <c r="H491" i="1" s="1"/>
  <c r="L491" i="1"/>
  <c r="I491" i="1" s="1"/>
  <c r="K491" i="1"/>
  <c r="J491" i="1" s="1"/>
  <c r="D491" i="1"/>
  <c r="AQ490" i="1"/>
  <c r="P490" i="1" s="1"/>
  <c r="AJ490" i="1"/>
  <c r="AI490" i="1"/>
  <c r="AH490" i="1"/>
  <c r="AG490" i="1"/>
  <c r="AF490" i="1"/>
  <c r="Q490" i="1"/>
  <c r="N490" i="1"/>
  <c r="G490" i="1" s="1"/>
  <c r="M490" i="1"/>
  <c r="H490" i="1" s="1"/>
  <c r="L490" i="1"/>
  <c r="I490" i="1" s="1"/>
  <c r="K490" i="1"/>
  <c r="J490" i="1" s="1"/>
  <c r="D490" i="1"/>
  <c r="AQ489" i="1"/>
  <c r="P489" i="1" s="1"/>
  <c r="AJ489" i="1"/>
  <c r="AI489" i="1"/>
  <c r="AH489" i="1"/>
  <c r="AG489" i="1"/>
  <c r="AF489" i="1"/>
  <c r="Q489" i="1"/>
  <c r="N489" i="1"/>
  <c r="G489" i="1" s="1"/>
  <c r="M489" i="1"/>
  <c r="H489" i="1" s="1"/>
  <c r="L489" i="1"/>
  <c r="I489" i="1" s="1"/>
  <c r="K489" i="1"/>
  <c r="J489" i="1" s="1"/>
  <c r="D489" i="1"/>
  <c r="AQ488" i="1"/>
  <c r="P488" i="1" s="1"/>
  <c r="AJ488" i="1"/>
  <c r="AI488" i="1"/>
  <c r="AH488" i="1"/>
  <c r="AG488" i="1"/>
  <c r="AF488" i="1"/>
  <c r="Q488" i="1"/>
  <c r="N488" i="1"/>
  <c r="G488" i="1" s="1"/>
  <c r="M488" i="1"/>
  <c r="H488" i="1" s="1"/>
  <c r="L488" i="1"/>
  <c r="I488" i="1" s="1"/>
  <c r="K488" i="1"/>
  <c r="J488" i="1" s="1"/>
  <c r="D488" i="1"/>
  <c r="AQ487" i="1"/>
  <c r="P487" i="1" s="1"/>
  <c r="AJ487" i="1"/>
  <c r="AI487" i="1"/>
  <c r="AH487" i="1"/>
  <c r="AG487" i="1"/>
  <c r="AF487" i="1"/>
  <c r="Q487" i="1"/>
  <c r="N487" i="1"/>
  <c r="G487" i="1" s="1"/>
  <c r="M487" i="1"/>
  <c r="H487" i="1" s="1"/>
  <c r="L487" i="1"/>
  <c r="I487" i="1" s="1"/>
  <c r="K487" i="1"/>
  <c r="J487" i="1" s="1"/>
  <c r="D487" i="1"/>
  <c r="AQ486" i="1"/>
  <c r="P486" i="1" s="1"/>
  <c r="AJ486" i="1"/>
  <c r="AI486" i="1"/>
  <c r="AH486" i="1"/>
  <c r="AG486" i="1"/>
  <c r="AF486" i="1"/>
  <c r="Q486" i="1"/>
  <c r="N486" i="1"/>
  <c r="G486" i="1" s="1"/>
  <c r="M486" i="1"/>
  <c r="H486" i="1" s="1"/>
  <c r="L486" i="1"/>
  <c r="I486" i="1" s="1"/>
  <c r="K486" i="1"/>
  <c r="J486" i="1" s="1"/>
  <c r="D486" i="1"/>
  <c r="AQ485" i="1"/>
  <c r="P485" i="1" s="1"/>
  <c r="AJ485" i="1"/>
  <c r="AI485" i="1"/>
  <c r="AH485" i="1"/>
  <c r="AG485" i="1"/>
  <c r="AF485" i="1"/>
  <c r="Q485" i="1"/>
  <c r="D485" i="1"/>
  <c r="AQ484" i="1"/>
  <c r="P484" i="1" s="1"/>
  <c r="AJ484" i="1"/>
  <c r="AI484" i="1"/>
  <c r="AH484" i="1"/>
  <c r="AG484" i="1"/>
  <c r="AF484" i="1"/>
  <c r="Q484" i="1"/>
  <c r="D484" i="1"/>
  <c r="AQ483" i="1"/>
  <c r="P483" i="1" s="1"/>
  <c r="AJ483" i="1"/>
  <c r="AI483" i="1"/>
  <c r="AH483" i="1"/>
  <c r="AG483" i="1"/>
  <c r="AF483" i="1"/>
  <c r="Q483" i="1"/>
  <c r="N483" i="1"/>
  <c r="G483" i="1" s="1"/>
  <c r="M483" i="1"/>
  <c r="H483" i="1" s="1"/>
  <c r="L483" i="1"/>
  <c r="I483" i="1" s="1"/>
  <c r="K483" i="1"/>
  <c r="J483" i="1" s="1"/>
  <c r="D483" i="1"/>
  <c r="AQ482" i="1"/>
  <c r="P482" i="1" s="1"/>
  <c r="AJ482" i="1"/>
  <c r="AI482" i="1"/>
  <c r="AH482" i="1"/>
  <c r="AG482" i="1"/>
  <c r="AF482" i="1"/>
  <c r="Q482" i="1"/>
  <c r="N482" i="1"/>
  <c r="G482" i="1" s="1"/>
  <c r="M482" i="1"/>
  <c r="H482" i="1" s="1"/>
  <c r="L482" i="1"/>
  <c r="I482" i="1" s="1"/>
  <c r="K482" i="1"/>
  <c r="J482" i="1" s="1"/>
  <c r="D482" i="1"/>
  <c r="AQ481" i="1"/>
  <c r="P481" i="1" s="1"/>
  <c r="AJ481" i="1"/>
  <c r="AI481" i="1"/>
  <c r="AH481" i="1"/>
  <c r="AG481" i="1"/>
  <c r="AF481" i="1"/>
  <c r="Q481" i="1"/>
  <c r="N481" i="1"/>
  <c r="G481" i="1" s="1"/>
  <c r="M481" i="1"/>
  <c r="H481" i="1" s="1"/>
  <c r="L481" i="1"/>
  <c r="I481" i="1" s="1"/>
  <c r="K481" i="1"/>
  <c r="J481" i="1" s="1"/>
  <c r="D481" i="1"/>
  <c r="AQ480" i="1"/>
  <c r="P480" i="1" s="1"/>
  <c r="AJ480" i="1"/>
  <c r="AI480" i="1"/>
  <c r="AH480" i="1"/>
  <c r="AG480" i="1"/>
  <c r="AF480" i="1"/>
  <c r="Q480" i="1"/>
  <c r="N480" i="1"/>
  <c r="G480" i="1" s="1"/>
  <c r="M480" i="1"/>
  <c r="H480" i="1" s="1"/>
  <c r="L480" i="1"/>
  <c r="I480" i="1" s="1"/>
  <c r="K480" i="1"/>
  <c r="J480" i="1" s="1"/>
  <c r="D480" i="1"/>
  <c r="AQ479" i="1"/>
  <c r="P479" i="1" s="1"/>
  <c r="AJ479" i="1"/>
  <c r="AI479" i="1"/>
  <c r="AH479" i="1"/>
  <c r="AG479" i="1"/>
  <c r="AF479" i="1"/>
  <c r="Q479" i="1"/>
  <c r="N479" i="1"/>
  <c r="G479" i="1" s="1"/>
  <c r="M479" i="1"/>
  <c r="H479" i="1" s="1"/>
  <c r="L479" i="1"/>
  <c r="I479" i="1" s="1"/>
  <c r="K479" i="1"/>
  <c r="J479" i="1" s="1"/>
  <c r="D479" i="1"/>
  <c r="AQ478" i="1"/>
  <c r="P478" i="1" s="1"/>
  <c r="AJ478" i="1"/>
  <c r="AI478" i="1"/>
  <c r="AH478" i="1"/>
  <c r="AG478" i="1"/>
  <c r="AF478" i="1"/>
  <c r="Q478" i="1"/>
  <c r="N478" i="1"/>
  <c r="G478" i="1" s="1"/>
  <c r="M478" i="1"/>
  <c r="H478" i="1" s="1"/>
  <c r="L478" i="1"/>
  <c r="I478" i="1" s="1"/>
  <c r="K478" i="1"/>
  <c r="J478" i="1" s="1"/>
  <c r="D478" i="1"/>
  <c r="AQ477" i="1"/>
  <c r="P477" i="1" s="1"/>
  <c r="AJ477" i="1"/>
  <c r="AI477" i="1"/>
  <c r="AH477" i="1"/>
  <c r="AG477" i="1"/>
  <c r="AF477" i="1"/>
  <c r="Q477" i="1"/>
  <c r="N477" i="1"/>
  <c r="G477" i="1" s="1"/>
  <c r="M477" i="1"/>
  <c r="H477" i="1" s="1"/>
  <c r="L477" i="1"/>
  <c r="I477" i="1" s="1"/>
  <c r="K477" i="1"/>
  <c r="J477" i="1" s="1"/>
  <c r="D477" i="1"/>
  <c r="AQ476" i="1"/>
  <c r="P476" i="1" s="1"/>
  <c r="AJ476" i="1"/>
  <c r="AI476" i="1"/>
  <c r="AH476" i="1"/>
  <c r="AG476" i="1"/>
  <c r="AF476" i="1"/>
  <c r="Q476" i="1"/>
  <c r="N476" i="1"/>
  <c r="G476" i="1" s="1"/>
  <c r="M476" i="1"/>
  <c r="H476" i="1" s="1"/>
  <c r="L476" i="1"/>
  <c r="I476" i="1" s="1"/>
  <c r="K476" i="1"/>
  <c r="J476" i="1" s="1"/>
  <c r="D476" i="1"/>
  <c r="AQ475" i="1"/>
  <c r="P475" i="1" s="1"/>
  <c r="AJ475" i="1"/>
  <c r="AI475" i="1"/>
  <c r="AH475" i="1"/>
  <c r="AG475" i="1"/>
  <c r="AF475" i="1"/>
  <c r="Q475" i="1"/>
  <c r="D475" i="1"/>
  <c r="AQ474" i="1"/>
  <c r="P474" i="1" s="1"/>
  <c r="AJ474" i="1"/>
  <c r="AI474" i="1"/>
  <c r="AH474" i="1"/>
  <c r="AG474" i="1"/>
  <c r="AF474" i="1"/>
  <c r="Q474" i="1"/>
  <c r="D474" i="1"/>
  <c r="AQ473" i="1"/>
  <c r="P473" i="1" s="1"/>
  <c r="AJ473" i="1"/>
  <c r="AI473" i="1"/>
  <c r="AH473" i="1"/>
  <c r="AG473" i="1"/>
  <c r="AF473" i="1"/>
  <c r="Q473" i="1"/>
  <c r="N473" i="1"/>
  <c r="G473" i="1" s="1"/>
  <c r="M473" i="1"/>
  <c r="H473" i="1" s="1"/>
  <c r="L473" i="1"/>
  <c r="I473" i="1" s="1"/>
  <c r="K473" i="1"/>
  <c r="J473" i="1" s="1"/>
  <c r="D473" i="1"/>
  <c r="AQ472" i="1"/>
  <c r="P472" i="1" s="1"/>
  <c r="AJ472" i="1"/>
  <c r="AI472" i="1"/>
  <c r="AH472" i="1"/>
  <c r="AG472" i="1"/>
  <c r="AF472" i="1"/>
  <c r="Q472" i="1"/>
  <c r="N472" i="1"/>
  <c r="G472" i="1" s="1"/>
  <c r="M472" i="1"/>
  <c r="H472" i="1" s="1"/>
  <c r="L472" i="1"/>
  <c r="I472" i="1" s="1"/>
  <c r="K472" i="1"/>
  <c r="J472" i="1" s="1"/>
  <c r="D472" i="1"/>
  <c r="AQ471" i="1"/>
  <c r="P471" i="1" s="1"/>
  <c r="AJ471" i="1"/>
  <c r="AI471" i="1"/>
  <c r="AH471" i="1"/>
  <c r="AG471" i="1"/>
  <c r="AF471" i="1"/>
  <c r="Q471" i="1"/>
  <c r="N471" i="1"/>
  <c r="G471" i="1" s="1"/>
  <c r="M471" i="1"/>
  <c r="H471" i="1" s="1"/>
  <c r="L471" i="1"/>
  <c r="I471" i="1" s="1"/>
  <c r="K471" i="1"/>
  <c r="J471" i="1" s="1"/>
  <c r="D471" i="1"/>
  <c r="AQ470" i="1"/>
  <c r="P470" i="1" s="1"/>
  <c r="AJ470" i="1"/>
  <c r="AI470" i="1"/>
  <c r="AH470" i="1"/>
  <c r="AG470" i="1"/>
  <c r="AF470" i="1"/>
  <c r="Q470" i="1"/>
  <c r="N470" i="1"/>
  <c r="G470" i="1" s="1"/>
  <c r="M470" i="1"/>
  <c r="H470" i="1" s="1"/>
  <c r="L470" i="1"/>
  <c r="I470" i="1" s="1"/>
  <c r="K470" i="1"/>
  <c r="J470" i="1" s="1"/>
  <c r="D470" i="1"/>
  <c r="AQ469" i="1"/>
  <c r="P469" i="1" s="1"/>
  <c r="AJ469" i="1"/>
  <c r="AI469" i="1"/>
  <c r="AH469" i="1"/>
  <c r="AG469" i="1"/>
  <c r="AF469" i="1"/>
  <c r="Q469" i="1"/>
  <c r="N469" i="1"/>
  <c r="G469" i="1" s="1"/>
  <c r="M469" i="1"/>
  <c r="H469" i="1" s="1"/>
  <c r="L469" i="1"/>
  <c r="I469" i="1" s="1"/>
  <c r="K469" i="1"/>
  <c r="J469" i="1" s="1"/>
  <c r="D469" i="1"/>
  <c r="AQ468" i="1"/>
  <c r="P468" i="1" s="1"/>
  <c r="AJ468" i="1"/>
  <c r="AI468" i="1"/>
  <c r="AH468" i="1"/>
  <c r="AG468" i="1"/>
  <c r="AF468" i="1"/>
  <c r="Q468" i="1"/>
  <c r="N468" i="1"/>
  <c r="G468" i="1" s="1"/>
  <c r="M468" i="1"/>
  <c r="H468" i="1" s="1"/>
  <c r="L468" i="1"/>
  <c r="I468" i="1" s="1"/>
  <c r="K468" i="1"/>
  <c r="J468" i="1" s="1"/>
  <c r="D468" i="1"/>
  <c r="AQ467" i="1"/>
  <c r="P467" i="1" s="1"/>
  <c r="AJ467" i="1"/>
  <c r="AI467" i="1"/>
  <c r="AH467" i="1"/>
  <c r="AG467" i="1"/>
  <c r="AF467" i="1"/>
  <c r="Q467" i="1"/>
  <c r="N467" i="1"/>
  <c r="G467" i="1" s="1"/>
  <c r="M467" i="1"/>
  <c r="H467" i="1" s="1"/>
  <c r="L467" i="1"/>
  <c r="I467" i="1" s="1"/>
  <c r="K467" i="1"/>
  <c r="J467" i="1" s="1"/>
  <c r="D467" i="1"/>
  <c r="AQ466" i="1"/>
  <c r="P466" i="1" s="1"/>
  <c r="AJ466" i="1"/>
  <c r="AI466" i="1"/>
  <c r="AH466" i="1"/>
  <c r="AG466" i="1"/>
  <c r="AF466" i="1"/>
  <c r="Q466" i="1"/>
  <c r="N466" i="1"/>
  <c r="G466" i="1" s="1"/>
  <c r="M466" i="1"/>
  <c r="H466" i="1" s="1"/>
  <c r="L466" i="1"/>
  <c r="I466" i="1" s="1"/>
  <c r="K466" i="1"/>
  <c r="J466" i="1" s="1"/>
  <c r="D466" i="1"/>
  <c r="AQ465" i="1"/>
  <c r="P465" i="1" s="1"/>
  <c r="AJ465" i="1"/>
  <c r="AI465" i="1"/>
  <c r="AH465" i="1"/>
  <c r="AG465" i="1"/>
  <c r="AF465" i="1"/>
  <c r="Q465" i="1"/>
  <c r="D465" i="1"/>
  <c r="AQ464" i="1"/>
  <c r="P464" i="1" s="1"/>
  <c r="AJ464" i="1"/>
  <c r="AI464" i="1"/>
  <c r="AH464" i="1"/>
  <c r="AG464" i="1"/>
  <c r="AF464" i="1"/>
  <c r="Q464" i="1"/>
  <c r="D464" i="1"/>
  <c r="AQ463" i="1"/>
  <c r="P463" i="1" s="1"/>
  <c r="AJ463" i="1"/>
  <c r="AI463" i="1"/>
  <c r="AH463" i="1"/>
  <c r="AG463" i="1"/>
  <c r="AF463" i="1"/>
  <c r="Q463" i="1"/>
  <c r="N463" i="1"/>
  <c r="G463" i="1" s="1"/>
  <c r="M463" i="1"/>
  <c r="H463" i="1" s="1"/>
  <c r="L463" i="1"/>
  <c r="I463" i="1" s="1"/>
  <c r="K463" i="1"/>
  <c r="J463" i="1" s="1"/>
  <c r="D463" i="1"/>
  <c r="AQ462" i="1"/>
  <c r="P462" i="1" s="1"/>
  <c r="AJ462" i="1"/>
  <c r="AI462" i="1"/>
  <c r="AH462" i="1"/>
  <c r="AG462" i="1"/>
  <c r="AF462" i="1"/>
  <c r="Q462" i="1"/>
  <c r="N462" i="1"/>
  <c r="G462" i="1" s="1"/>
  <c r="M462" i="1"/>
  <c r="H462" i="1" s="1"/>
  <c r="L462" i="1"/>
  <c r="I462" i="1" s="1"/>
  <c r="K462" i="1"/>
  <c r="J462" i="1" s="1"/>
  <c r="D462" i="1"/>
  <c r="AQ461" i="1"/>
  <c r="P461" i="1" s="1"/>
  <c r="AJ461" i="1"/>
  <c r="AI461" i="1"/>
  <c r="AH461" i="1"/>
  <c r="AG461" i="1"/>
  <c r="AF461" i="1"/>
  <c r="Q461" i="1"/>
  <c r="N461" i="1"/>
  <c r="G461" i="1" s="1"/>
  <c r="M461" i="1"/>
  <c r="H461" i="1" s="1"/>
  <c r="L461" i="1"/>
  <c r="I461" i="1" s="1"/>
  <c r="K461" i="1"/>
  <c r="J461" i="1" s="1"/>
  <c r="D461" i="1"/>
  <c r="AQ460" i="1"/>
  <c r="P460" i="1" s="1"/>
  <c r="AJ460" i="1"/>
  <c r="AI460" i="1"/>
  <c r="AH460" i="1"/>
  <c r="AG460" i="1"/>
  <c r="AF460" i="1"/>
  <c r="Q460" i="1"/>
  <c r="N460" i="1"/>
  <c r="G460" i="1" s="1"/>
  <c r="M460" i="1"/>
  <c r="H460" i="1" s="1"/>
  <c r="L460" i="1"/>
  <c r="I460" i="1" s="1"/>
  <c r="K460" i="1"/>
  <c r="J460" i="1" s="1"/>
  <c r="D460" i="1"/>
  <c r="AQ459" i="1"/>
  <c r="P459" i="1" s="1"/>
  <c r="AJ459" i="1"/>
  <c r="AI459" i="1"/>
  <c r="AH459" i="1"/>
  <c r="AG459" i="1"/>
  <c r="AF459" i="1"/>
  <c r="Q459" i="1"/>
  <c r="N459" i="1"/>
  <c r="G459" i="1" s="1"/>
  <c r="M459" i="1"/>
  <c r="H459" i="1" s="1"/>
  <c r="L459" i="1"/>
  <c r="I459" i="1" s="1"/>
  <c r="K459" i="1"/>
  <c r="J459" i="1" s="1"/>
  <c r="D459" i="1"/>
  <c r="AQ458" i="1"/>
  <c r="P458" i="1" s="1"/>
  <c r="AJ458" i="1"/>
  <c r="AI458" i="1"/>
  <c r="AH458" i="1"/>
  <c r="AG458" i="1"/>
  <c r="AF458" i="1"/>
  <c r="Q458" i="1"/>
  <c r="N458" i="1"/>
  <c r="G458" i="1" s="1"/>
  <c r="M458" i="1"/>
  <c r="H458" i="1" s="1"/>
  <c r="L458" i="1"/>
  <c r="I458" i="1" s="1"/>
  <c r="K458" i="1"/>
  <c r="J458" i="1" s="1"/>
  <c r="D458" i="1"/>
  <c r="AQ457" i="1"/>
  <c r="P457" i="1" s="1"/>
  <c r="AJ457" i="1"/>
  <c r="AI457" i="1"/>
  <c r="AH457" i="1"/>
  <c r="AG457" i="1"/>
  <c r="AF457" i="1"/>
  <c r="Q457" i="1"/>
  <c r="N457" i="1"/>
  <c r="G457" i="1" s="1"/>
  <c r="M457" i="1"/>
  <c r="H457" i="1" s="1"/>
  <c r="L457" i="1"/>
  <c r="I457" i="1" s="1"/>
  <c r="K457" i="1"/>
  <c r="J457" i="1" s="1"/>
  <c r="D457" i="1"/>
  <c r="AQ456" i="1"/>
  <c r="P456" i="1" s="1"/>
  <c r="AJ456" i="1"/>
  <c r="AI456" i="1"/>
  <c r="AH456" i="1"/>
  <c r="AG456" i="1"/>
  <c r="AF456" i="1"/>
  <c r="Q456" i="1"/>
  <c r="N456" i="1"/>
  <c r="G456" i="1" s="1"/>
  <c r="M456" i="1"/>
  <c r="H456" i="1" s="1"/>
  <c r="L456" i="1"/>
  <c r="I456" i="1" s="1"/>
  <c r="K456" i="1"/>
  <c r="J456" i="1" s="1"/>
  <c r="D456" i="1"/>
  <c r="AQ455" i="1"/>
  <c r="P455" i="1" s="1"/>
  <c r="AJ455" i="1"/>
  <c r="AI455" i="1"/>
  <c r="AH455" i="1"/>
  <c r="AG455" i="1"/>
  <c r="AF455" i="1"/>
  <c r="Q455" i="1"/>
  <c r="D455" i="1"/>
  <c r="AQ454" i="1"/>
  <c r="P454" i="1" s="1"/>
  <c r="AJ454" i="1"/>
  <c r="AI454" i="1"/>
  <c r="AH454" i="1"/>
  <c r="AG454" i="1"/>
  <c r="AF454" i="1"/>
  <c r="Q454" i="1"/>
  <c r="D454" i="1"/>
  <c r="AQ453" i="1"/>
  <c r="P453" i="1" s="1"/>
  <c r="AJ453" i="1"/>
  <c r="AI453" i="1"/>
  <c r="AH453" i="1"/>
  <c r="AG453" i="1"/>
  <c r="AF453" i="1"/>
  <c r="Q453" i="1"/>
  <c r="N453" i="1"/>
  <c r="G453" i="1" s="1"/>
  <c r="M453" i="1"/>
  <c r="H453" i="1" s="1"/>
  <c r="L453" i="1"/>
  <c r="I453" i="1" s="1"/>
  <c r="K453" i="1"/>
  <c r="J453" i="1" s="1"/>
  <c r="D453" i="1"/>
  <c r="AQ452" i="1"/>
  <c r="P452" i="1" s="1"/>
  <c r="AJ452" i="1"/>
  <c r="AI452" i="1"/>
  <c r="AH452" i="1"/>
  <c r="AG452" i="1"/>
  <c r="AF452" i="1"/>
  <c r="Q452" i="1"/>
  <c r="N452" i="1"/>
  <c r="G452" i="1" s="1"/>
  <c r="M452" i="1"/>
  <c r="H452" i="1" s="1"/>
  <c r="L452" i="1"/>
  <c r="I452" i="1" s="1"/>
  <c r="K452" i="1"/>
  <c r="J452" i="1" s="1"/>
  <c r="D452" i="1"/>
  <c r="AQ451" i="1"/>
  <c r="P451" i="1" s="1"/>
  <c r="AJ451" i="1"/>
  <c r="AI451" i="1"/>
  <c r="AH451" i="1"/>
  <c r="AG451" i="1"/>
  <c r="AF451" i="1"/>
  <c r="Q451" i="1"/>
  <c r="N451" i="1"/>
  <c r="G451" i="1" s="1"/>
  <c r="M451" i="1"/>
  <c r="H451" i="1" s="1"/>
  <c r="L451" i="1"/>
  <c r="I451" i="1" s="1"/>
  <c r="K451" i="1"/>
  <c r="J451" i="1" s="1"/>
  <c r="D451" i="1"/>
  <c r="AQ450" i="1"/>
  <c r="P450" i="1" s="1"/>
  <c r="AJ450" i="1"/>
  <c r="AI450" i="1"/>
  <c r="AH450" i="1"/>
  <c r="AG450" i="1"/>
  <c r="AF450" i="1"/>
  <c r="Q450" i="1"/>
  <c r="N450" i="1"/>
  <c r="G450" i="1" s="1"/>
  <c r="M450" i="1"/>
  <c r="H450" i="1" s="1"/>
  <c r="L450" i="1"/>
  <c r="I450" i="1" s="1"/>
  <c r="K450" i="1"/>
  <c r="J450" i="1" s="1"/>
  <c r="D450" i="1"/>
  <c r="AQ449" i="1"/>
  <c r="P449" i="1" s="1"/>
  <c r="AJ449" i="1"/>
  <c r="AI449" i="1"/>
  <c r="AH449" i="1"/>
  <c r="AG449" i="1"/>
  <c r="AF449" i="1"/>
  <c r="Q449" i="1"/>
  <c r="N449" i="1"/>
  <c r="G449" i="1" s="1"/>
  <c r="M449" i="1"/>
  <c r="H449" i="1" s="1"/>
  <c r="L449" i="1"/>
  <c r="I449" i="1" s="1"/>
  <c r="K449" i="1"/>
  <c r="J449" i="1" s="1"/>
  <c r="D449" i="1"/>
  <c r="AQ448" i="1"/>
  <c r="P448" i="1" s="1"/>
  <c r="AJ448" i="1"/>
  <c r="AI448" i="1"/>
  <c r="AH448" i="1"/>
  <c r="AG448" i="1"/>
  <c r="AF448" i="1"/>
  <c r="Q448" i="1"/>
  <c r="N448" i="1"/>
  <c r="G448" i="1" s="1"/>
  <c r="M448" i="1"/>
  <c r="H448" i="1" s="1"/>
  <c r="L448" i="1"/>
  <c r="I448" i="1" s="1"/>
  <c r="K448" i="1"/>
  <c r="J448" i="1" s="1"/>
  <c r="D448" i="1"/>
  <c r="AQ447" i="1"/>
  <c r="P447" i="1" s="1"/>
  <c r="AJ447" i="1"/>
  <c r="AI447" i="1"/>
  <c r="AH447" i="1"/>
  <c r="AG447" i="1"/>
  <c r="AF447" i="1"/>
  <c r="Q447" i="1"/>
  <c r="N447" i="1"/>
  <c r="G447" i="1" s="1"/>
  <c r="M447" i="1"/>
  <c r="H447" i="1" s="1"/>
  <c r="L447" i="1"/>
  <c r="I447" i="1" s="1"/>
  <c r="K447" i="1"/>
  <c r="J447" i="1" s="1"/>
  <c r="D447" i="1"/>
  <c r="AQ446" i="1"/>
  <c r="P446" i="1" s="1"/>
  <c r="AJ446" i="1"/>
  <c r="AI446" i="1"/>
  <c r="AH446" i="1"/>
  <c r="AG446" i="1"/>
  <c r="AF446" i="1"/>
  <c r="Q446" i="1"/>
  <c r="N446" i="1"/>
  <c r="G446" i="1" s="1"/>
  <c r="M446" i="1"/>
  <c r="H446" i="1" s="1"/>
  <c r="L446" i="1"/>
  <c r="I446" i="1" s="1"/>
  <c r="K446" i="1"/>
  <c r="J446" i="1" s="1"/>
  <c r="D446" i="1"/>
  <c r="AQ445" i="1"/>
  <c r="P445" i="1" s="1"/>
  <c r="AJ445" i="1"/>
  <c r="AI445" i="1"/>
  <c r="AH445" i="1"/>
  <c r="AG445" i="1"/>
  <c r="AF445" i="1"/>
  <c r="Q445" i="1"/>
  <c r="D445" i="1"/>
  <c r="AQ444" i="1"/>
  <c r="P444" i="1" s="1"/>
  <c r="AJ444" i="1"/>
  <c r="AI444" i="1"/>
  <c r="AH444" i="1"/>
  <c r="AG444" i="1"/>
  <c r="AF444" i="1"/>
  <c r="Q444" i="1"/>
  <c r="D444" i="1"/>
  <c r="AQ373" i="1"/>
  <c r="P373" i="1" s="1"/>
  <c r="AJ373" i="1"/>
  <c r="AI373" i="1"/>
  <c r="AH373" i="1"/>
  <c r="AG373" i="1"/>
  <c r="AF373" i="1"/>
  <c r="Q373" i="1"/>
  <c r="N373" i="1"/>
  <c r="G373" i="1" s="1"/>
  <c r="M373" i="1"/>
  <c r="H373" i="1" s="1"/>
  <c r="L373" i="1"/>
  <c r="I373" i="1" s="1"/>
  <c r="K373" i="1"/>
  <c r="J373" i="1" s="1"/>
  <c r="D373" i="1"/>
  <c r="AQ372" i="1"/>
  <c r="P372" i="1" s="1"/>
  <c r="AJ372" i="1"/>
  <c r="AI372" i="1"/>
  <c r="AH372" i="1"/>
  <c r="AG372" i="1"/>
  <c r="AF372" i="1"/>
  <c r="Q372" i="1"/>
  <c r="N372" i="1"/>
  <c r="G372" i="1" s="1"/>
  <c r="M372" i="1"/>
  <c r="H372" i="1" s="1"/>
  <c r="L372" i="1"/>
  <c r="I372" i="1" s="1"/>
  <c r="K372" i="1"/>
  <c r="J372" i="1" s="1"/>
  <c r="D372" i="1"/>
  <c r="AQ371" i="1"/>
  <c r="P371" i="1" s="1"/>
  <c r="AJ371" i="1"/>
  <c r="AI371" i="1"/>
  <c r="AH371" i="1"/>
  <c r="AG371" i="1"/>
  <c r="AF371" i="1"/>
  <c r="Q371" i="1"/>
  <c r="D371" i="1"/>
  <c r="AQ370" i="1"/>
  <c r="P370" i="1" s="1"/>
  <c r="AJ370" i="1"/>
  <c r="AI370" i="1"/>
  <c r="AH370" i="1"/>
  <c r="AG370" i="1"/>
  <c r="AF370" i="1"/>
  <c r="Q370" i="1"/>
  <c r="D370" i="1"/>
  <c r="AQ369" i="1"/>
  <c r="P369" i="1" s="1"/>
  <c r="AJ369" i="1"/>
  <c r="AI369" i="1"/>
  <c r="AH369" i="1"/>
  <c r="AG369" i="1"/>
  <c r="AF369" i="1"/>
  <c r="Q369" i="1"/>
  <c r="N369" i="1"/>
  <c r="G369" i="1" s="1"/>
  <c r="M369" i="1"/>
  <c r="H369" i="1" s="1"/>
  <c r="L369" i="1"/>
  <c r="I369" i="1" s="1"/>
  <c r="K369" i="1"/>
  <c r="J369" i="1" s="1"/>
  <c r="D369" i="1"/>
  <c r="AQ368" i="1"/>
  <c r="P368" i="1" s="1"/>
  <c r="AJ368" i="1"/>
  <c r="AI368" i="1"/>
  <c r="AH368" i="1"/>
  <c r="AG368" i="1"/>
  <c r="AF368" i="1"/>
  <c r="Q368" i="1"/>
  <c r="N368" i="1"/>
  <c r="G368" i="1" s="1"/>
  <c r="M368" i="1"/>
  <c r="H368" i="1" s="1"/>
  <c r="L368" i="1"/>
  <c r="I368" i="1" s="1"/>
  <c r="K368" i="1"/>
  <c r="J368" i="1" s="1"/>
  <c r="D368" i="1"/>
  <c r="AQ367" i="1"/>
  <c r="P367" i="1" s="1"/>
  <c r="AJ367" i="1"/>
  <c r="AI367" i="1"/>
  <c r="AH367" i="1"/>
  <c r="AG367" i="1"/>
  <c r="AF367" i="1"/>
  <c r="Q367" i="1"/>
  <c r="D367" i="1"/>
  <c r="AQ366" i="1"/>
  <c r="P366" i="1" s="1"/>
  <c r="AJ366" i="1"/>
  <c r="AI366" i="1"/>
  <c r="AH366" i="1"/>
  <c r="AG366" i="1"/>
  <c r="AF366" i="1"/>
  <c r="Q366" i="1"/>
  <c r="D366" i="1"/>
  <c r="AQ365" i="1"/>
  <c r="P365" i="1" s="1"/>
  <c r="AJ365" i="1"/>
  <c r="AI365" i="1"/>
  <c r="AH365" i="1"/>
  <c r="AG365" i="1"/>
  <c r="AF365" i="1"/>
  <c r="Q365" i="1"/>
  <c r="N365" i="1"/>
  <c r="G365" i="1" s="1"/>
  <c r="M365" i="1"/>
  <c r="H365" i="1" s="1"/>
  <c r="L365" i="1"/>
  <c r="I365" i="1" s="1"/>
  <c r="K365" i="1"/>
  <c r="J365" i="1" s="1"/>
  <c r="D365" i="1"/>
  <c r="AQ364" i="1"/>
  <c r="P364" i="1" s="1"/>
  <c r="AJ364" i="1"/>
  <c r="AI364" i="1"/>
  <c r="AH364" i="1"/>
  <c r="AG364" i="1"/>
  <c r="AF364" i="1"/>
  <c r="Q364" i="1"/>
  <c r="N364" i="1"/>
  <c r="G364" i="1" s="1"/>
  <c r="M364" i="1"/>
  <c r="H364" i="1" s="1"/>
  <c r="L364" i="1"/>
  <c r="I364" i="1" s="1"/>
  <c r="K364" i="1"/>
  <c r="J364" i="1" s="1"/>
  <c r="D364" i="1"/>
  <c r="AQ363" i="1"/>
  <c r="P363" i="1" s="1"/>
  <c r="AJ363" i="1"/>
  <c r="AI363" i="1"/>
  <c r="AH363" i="1"/>
  <c r="AG363" i="1"/>
  <c r="AF363" i="1"/>
  <c r="Q363" i="1"/>
  <c r="D363" i="1"/>
  <c r="AQ362" i="1"/>
  <c r="P362" i="1" s="1"/>
  <c r="AJ362" i="1"/>
  <c r="AI362" i="1"/>
  <c r="AH362" i="1"/>
  <c r="AG362" i="1"/>
  <c r="AF362" i="1"/>
  <c r="Q362" i="1"/>
  <c r="D362" i="1"/>
  <c r="AQ361" i="1"/>
  <c r="P361" i="1" s="1"/>
  <c r="AJ361" i="1"/>
  <c r="AI361" i="1"/>
  <c r="AH361" i="1"/>
  <c r="AG361" i="1"/>
  <c r="AF361" i="1"/>
  <c r="Q361" i="1"/>
  <c r="N361" i="1"/>
  <c r="G361" i="1" s="1"/>
  <c r="M361" i="1"/>
  <c r="H361" i="1" s="1"/>
  <c r="L361" i="1"/>
  <c r="I361" i="1" s="1"/>
  <c r="K361" i="1"/>
  <c r="J361" i="1" s="1"/>
  <c r="D361" i="1"/>
  <c r="AQ360" i="1"/>
  <c r="P360" i="1" s="1"/>
  <c r="AJ360" i="1"/>
  <c r="AI360" i="1"/>
  <c r="AH360" i="1"/>
  <c r="AG360" i="1"/>
  <c r="AF360" i="1"/>
  <c r="Q360" i="1"/>
  <c r="N360" i="1"/>
  <c r="G360" i="1" s="1"/>
  <c r="M360" i="1"/>
  <c r="H360" i="1" s="1"/>
  <c r="L360" i="1"/>
  <c r="I360" i="1" s="1"/>
  <c r="K360" i="1"/>
  <c r="J360" i="1" s="1"/>
  <c r="D360" i="1"/>
  <c r="AQ359" i="1"/>
  <c r="P359" i="1" s="1"/>
  <c r="AJ359" i="1"/>
  <c r="AI359" i="1"/>
  <c r="AH359" i="1"/>
  <c r="AG359" i="1"/>
  <c r="AF359" i="1"/>
  <c r="Q359" i="1"/>
  <c r="D359" i="1"/>
  <c r="AQ358" i="1"/>
  <c r="P358" i="1" s="1"/>
  <c r="AJ358" i="1"/>
  <c r="AI358" i="1"/>
  <c r="AH358" i="1"/>
  <c r="AG358" i="1"/>
  <c r="AF358" i="1"/>
  <c r="Q358" i="1"/>
  <c r="D358" i="1"/>
  <c r="AQ357" i="1"/>
  <c r="P357" i="1" s="1"/>
  <c r="AJ357" i="1"/>
  <c r="AI357" i="1"/>
  <c r="AH357" i="1"/>
  <c r="AG357" i="1"/>
  <c r="AF357" i="1"/>
  <c r="Q357" i="1"/>
  <c r="N357" i="1"/>
  <c r="G357" i="1" s="1"/>
  <c r="M357" i="1"/>
  <c r="H357" i="1" s="1"/>
  <c r="L357" i="1"/>
  <c r="I357" i="1" s="1"/>
  <c r="K357" i="1"/>
  <c r="J357" i="1" s="1"/>
  <c r="D357" i="1"/>
  <c r="AQ356" i="1"/>
  <c r="P356" i="1" s="1"/>
  <c r="AJ356" i="1"/>
  <c r="AI356" i="1"/>
  <c r="AH356" i="1"/>
  <c r="AG356" i="1"/>
  <c r="AF356" i="1"/>
  <c r="Q356" i="1"/>
  <c r="N356" i="1"/>
  <c r="G356" i="1" s="1"/>
  <c r="M356" i="1"/>
  <c r="H356" i="1" s="1"/>
  <c r="L356" i="1"/>
  <c r="I356" i="1" s="1"/>
  <c r="K356" i="1"/>
  <c r="J356" i="1" s="1"/>
  <c r="D356" i="1"/>
  <c r="AQ355" i="1"/>
  <c r="P355" i="1" s="1"/>
  <c r="AJ355" i="1"/>
  <c r="AI355" i="1"/>
  <c r="AH355" i="1"/>
  <c r="AG355" i="1"/>
  <c r="AF355" i="1"/>
  <c r="Q355" i="1"/>
  <c r="D355" i="1"/>
  <c r="AQ354" i="1"/>
  <c r="P354" i="1" s="1"/>
  <c r="AJ354" i="1"/>
  <c r="AI354" i="1"/>
  <c r="AH354" i="1"/>
  <c r="AG354" i="1"/>
  <c r="AF354" i="1"/>
  <c r="Q354" i="1"/>
  <c r="D354" i="1"/>
  <c r="AQ353" i="1"/>
  <c r="P353" i="1" s="1"/>
  <c r="AJ353" i="1"/>
  <c r="AI353" i="1"/>
  <c r="AH353" i="1"/>
  <c r="AG353" i="1"/>
  <c r="AF353" i="1"/>
  <c r="Q353" i="1"/>
  <c r="N353" i="1"/>
  <c r="G353" i="1" s="1"/>
  <c r="M353" i="1"/>
  <c r="H353" i="1" s="1"/>
  <c r="L353" i="1"/>
  <c r="I353" i="1" s="1"/>
  <c r="K353" i="1"/>
  <c r="J353" i="1" s="1"/>
  <c r="D353" i="1"/>
  <c r="AQ352" i="1"/>
  <c r="P352" i="1" s="1"/>
  <c r="AJ352" i="1"/>
  <c r="AI352" i="1"/>
  <c r="AH352" i="1"/>
  <c r="AG352" i="1"/>
  <c r="AF352" i="1"/>
  <c r="Q352" i="1"/>
  <c r="N352" i="1"/>
  <c r="G352" i="1" s="1"/>
  <c r="M352" i="1"/>
  <c r="H352" i="1" s="1"/>
  <c r="L352" i="1"/>
  <c r="I352" i="1" s="1"/>
  <c r="K352" i="1"/>
  <c r="J352" i="1" s="1"/>
  <c r="D352" i="1"/>
  <c r="AQ351" i="1"/>
  <c r="P351" i="1" s="1"/>
  <c r="AJ351" i="1"/>
  <c r="AI351" i="1"/>
  <c r="AH351" i="1"/>
  <c r="AG351" i="1"/>
  <c r="AF351" i="1"/>
  <c r="Q351" i="1"/>
  <c r="D351" i="1"/>
  <c r="AQ350" i="1"/>
  <c r="P350" i="1" s="1"/>
  <c r="AJ350" i="1"/>
  <c r="AI350" i="1"/>
  <c r="AH350" i="1"/>
  <c r="AG350" i="1"/>
  <c r="AF350" i="1"/>
  <c r="Q350" i="1"/>
  <c r="D350" i="1"/>
  <c r="AQ349" i="1"/>
  <c r="P349" i="1" s="1"/>
  <c r="AJ349" i="1"/>
  <c r="AI349" i="1"/>
  <c r="AH349" i="1"/>
  <c r="AG349" i="1"/>
  <c r="AF349" i="1"/>
  <c r="Q349" i="1"/>
  <c r="N349" i="1"/>
  <c r="G349" i="1" s="1"/>
  <c r="M349" i="1"/>
  <c r="H349" i="1" s="1"/>
  <c r="L349" i="1"/>
  <c r="I349" i="1" s="1"/>
  <c r="K349" i="1"/>
  <c r="J349" i="1" s="1"/>
  <c r="D349" i="1"/>
  <c r="AQ348" i="1"/>
  <c r="P348" i="1" s="1"/>
  <c r="AJ348" i="1"/>
  <c r="AI348" i="1"/>
  <c r="AH348" i="1"/>
  <c r="AG348" i="1"/>
  <c r="AF348" i="1"/>
  <c r="Q348" i="1"/>
  <c r="N348" i="1"/>
  <c r="G348" i="1" s="1"/>
  <c r="M348" i="1"/>
  <c r="H348" i="1" s="1"/>
  <c r="L348" i="1"/>
  <c r="I348" i="1" s="1"/>
  <c r="K348" i="1"/>
  <c r="J348" i="1" s="1"/>
  <c r="D348" i="1"/>
  <c r="AQ347" i="1"/>
  <c r="P347" i="1" s="1"/>
  <c r="AJ347" i="1"/>
  <c r="AI347" i="1"/>
  <c r="AH347" i="1"/>
  <c r="AG347" i="1"/>
  <c r="AF347" i="1"/>
  <c r="Q347" i="1"/>
  <c r="D347" i="1"/>
  <c r="AQ346" i="1"/>
  <c r="P346" i="1" s="1"/>
  <c r="AJ346" i="1"/>
  <c r="AI346" i="1"/>
  <c r="AH346" i="1"/>
  <c r="AG346" i="1"/>
  <c r="AF346" i="1"/>
  <c r="Q346" i="1"/>
  <c r="D346" i="1"/>
  <c r="AQ317" i="1"/>
  <c r="P317" i="1" s="1"/>
  <c r="AJ317" i="1"/>
  <c r="AI317" i="1"/>
  <c r="AH317" i="1"/>
  <c r="AG317" i="1"/>
  <c r="AF317" i="1"/>
  <c r="Q317" i="1"/>
  <c r="N317" i="1"/>
  <c r="G317" i="1" s="1"/>
  <c r="M317" i="1"/>
  <c r="H317" i="1" s="1"/>
  <c r="L317" i="1"/>
  <c r="I317" i="1" s="1"/>
  <c r="K317" i="1"/>
  <c r="J317" i="1" s="1"/>
  <c r="D317" i="1"/>
  <c r="AQ316" i="1"/>
  <c r="P316" i="1" s="1"/>
  <c r="AJ316" i="1"/>
  <c r="AI316" i="1"/>
  <c r="AH316" i="1"/>
  <c r="AG316" i="1"/>
  <c r="AF316" i="1"/>
  <c r="Q316" i="1"/>
  <c r="N316" i="1"/>
  <c r="G316" i="1" s="1"/>
  <c r="M316" i="1"/>
  <c r="H316" i="1" s="1"/>
  <c r="L316" i="1"/>
  <c r="I316" i="1" s="1"/>
  <c r="K316" i="1"/>
  <c r="J316" i="1" s="1"/>
  <c r="D316" i="1"/>
  <c r="AQ315" i="1"/>
  <c r="P315" i="1" s="1"/>
  <c r="AJ315" i="1"/>
  <c r="AI315" i="1"/>
  <c r="AH315" i="1"/>
  <c r="AG315" i="1"/>
  <c r="AF315" i="1"/>
  <c r="Q315" i="1"/>
  <c r="N315" i="1"/>
  <c r="G315" i="1" s="1"/>
  <c r="M315" i="1"/>
  <c r="H315" i="1" s="1"/>
  <c r="L315" i="1"/>
  <c r="I315" i="1" s="1"/>
  <c r="K315" i="1"/>
  <c r="J315" i="1" s="1"/>
  <c r="D315" i="1"/>
  <c r="AQ314" i="1"/>
  <c r="P314" i="1" s="1"/>
  <c r="AJ314" i="1"/>
  <c r="AI314" i="1"/>
  <c r="AH314" i="1"/>
  <c r="AG314" i="1"/>
  <c r="AF314" i="1"/>
  <c r="Q314" i="1"/>
  <c r="N314" i="1"/>
  <c r="G314" i="1" s="1"/>
  <c r="M314" i="1"/>
  <c r="H314" i="1" s="1"/>
  <c r="L314" i="1"/>
  <c r="I314" i="1" s="1"/>
  <c r="K314" i="1"/>
  <c r="J314" i="1" s="1"/>
  <c r="D314" i="1"/>
  <c r="AQ313" i="1"/>
  <c r="P313" i="1" s="1"/>
  <c r="AJ313" i="1"/>
  <c r="AI313" i="1"/>
  <c r="AH313" i="1"/>
  <c r="AG313" i="1"/>
  <c r="AF313" i="1"/>
  <c r="Q313" i="1"/>
  <c r="D313" i="1"/>
  <c r="AQ312" i="1"/>
  <c r="P312" i="1" s="1"/>
  <c r="AJ312" i="1"/>
  <c r="AI312" i="1"/>
  <c r="AH312" i="1"/>
  <c r="AG312" i="1"/>
  <c r="AF312" i="1"/>
  <c r="Q312" i="1"/>
  <c r="N312" i="1"/>
  <c r="G312" i="1" s="1"/>
  <c r="M312" i="1"/>
  <c r="H312" i="1" s="1"/>
  <c r="L312" i="1"/>
  <c r="I312" i="1" s="1"/>
  <c r="K312" i="1"/>
  <c r="J312" i="1" s="1"/>
  <c r="D312" i="1"/>
  <c r="AQ311" i="1"/>
  <c r="P311" i="1" s="1"/>
  <c r="AJ311" i="1"/>
  <c r="AI311" i="1"/>
  <c r="AH311" i="1"/>
  <c r="AG311" i="1"/>
  <c r="AF311" i="1"/>
  <c r="Q311" i="1"/>
  <c r="N311" i="1"/>
  <c r="G311" i="1" s="1"/>
  <c r="M311" i="1"/>
  <c r="H311" i="1" s="1"/>
  <c r="L311" i="1"/>
  <c r="I311" i="1" s="1"/>
  <c r="K311" i="1"/>
  <c r="J311" i="1" s="1"/>
  <c r="D311" i="1"/>
  <c r="AQ310" i="1"/>
  <c r="P310" i="1" s="1"/>
  <c r="AJ310" i="1"/>
  <c r="AI310" i="1"/>
  <c r="AH310" i="1"/>
  <c r="AG310" i="1"/>
  <c r="AF310" i="1"/>
  <c r="Q310" i="1"/>
  <c r="N310" i="1"/>
  <c r="G310" i="1" s="1"/>
  <c r="M310" i="1"/>
  <c r="H310" i="1" s="1"/>
  <c r="L310" i="1"/>
  <c r="I310" i="1" s="1"/>
  <c r="K310" i="1"/>
  <c r="J310" i="1" s="1"/>
  <c r="D310" i="1"/>
  <c r="AQ309" i="1"/>
  <c r="P309" i="1" s="1"/>
  <c r="AJ309" i="1"/>
  <c r="AI309" i="1"/>
  <c r="AH309" i="1"/>
  <c r="AG309" i="1"/>
  <c r="AF309" i="1"/>
  <c r="Q309" i="1"/>
  <c r="N309" i="1"/>
  <c r="G309" i="1" s="1"/>
  <c r="M309" i="1"/>
  <c r="H309" i="1" s="1"/>
  <c r="L309" i="1"/>
  <c r="I309" i="1" s="1"/>
  <c r="K309" i="1"/>
  <c r="J309" i="1" s="1"/>
  <c r="D309" i="1"/>
  <c r="AQ308" i="1"/>
  <c r="P308" i="1" s="1"/>
  <c r="AJ308" i="1"/>
  <c r="AI308" i="1"/>
  <c r="AH308" i="1"/>
  <c r="AG308" i="1"/>
  <c r="AF308" i="1"/>
  <c r="Q308" i="1"/>
  <c r="D308" i="1"/>
  <c r="AQ307" i="1"/>
  <c r="P307" i="1" s="1"/>
  <c r="AJ307" i="1"/>
  <c r="AI307" i="1"/>
  <c r="AH307" i="1"/>
  <c r="AG307" i="1"/>
  <c r="AF307" i="1"/>
  <c r="Q307" i="1"/>
  <c r="N307" i="1"/>
  <c r="G307" i="1" s="1"/>
  <c r="M307" i="1"/>
  <c r="H307" i="1" s="1"/>
  <c r="L307" i="1"/>
  <c r="I307" i="1" s="1"/>
  <c r="K307" i="1"/>
  <c r="J307" i="1" s="1"/>
  <c r="D307" i="1"/>
  <c r="AQ306" i="1"/>
  <c r="P306" i="1" s="1"/>
  <c r="AJ306" i="1"/>
  <c r="AI306" i="1"/>
  <c r="AH306" i="1"/>
  <c r="AG306" i="1"/>
  <c r="AF306" i="1"/>
  <c r="Q306" i="1"/>
  <c r="N306" i="1"/>
  <c r="G306" i="1" s="1"/>
  <c r="M306" i="1"/>
  <c r="H306" i="1" s="1"/>
  <c r="L306" i="1"/>
  <c r="I306" i="1" s="1"/>
  <c r="K306" i="1"/>
  <c r="J306" i="1" s="1"/>
  <c r="D306" i="1"/>
  <c r="AQ305" i="1"/>
  <c r="P305" i="1" s="1"/>
  <c r="AJ305" i="1"/>
  <c r="AI305" i="1"/>
  <c r="AH305" i="1"/>
  <c r="AG305" i="1"/>
  <c r="AF305" i="1"/>
  <c r="Q305" i="1"/>
  <c r="N305" i="1"/>
  <c r="G305" i="1" s="1"/>
  <c r="M305" i="1"/>
  <c r="H305" i="1" s="1"/>
  <c r="L305" i="1"/>
  <c r="I305" i="1" s="1"/>
  <c r="K305" i="1"/>
  <c r="J305" i="1" s="1"/>
  <c r="D305" i="1"/>
  <c r="AQ304" i="1"/>
  <c r="P304" i="1" s="1"/>
  <c r="AJ304" i="1"/>
  <c r="AI304" i="1"/>
  <c r="AH304" i="1"/>
  <c r="AG304" i="1"/>
  <c r="AF304" i="1"/>
  <c r="Q304" i="1"/>
  <c r="N304" i="1"/>
  <c r="G304" i="1" s="1"/>
  <c r="M304" i="1"/>
  <c r="H304" i="1" s="1"/>
  <c r="L304" i="1"/>
  <c r="I304" i="1" s="1"/>
  <c r="K304" i="1"/>
  <c r="J304" i="1" s="1"/>
  <c r="D304" i="1"/>
  <c r="AQ303" i="1"/>
  <c r="P303" i="1" s="1"/>
  <c r="AJ303" i="1"/>
  <c r="AI303" i="1"/>
  <c r="AH303" i="1"/>
  <c r="AG303" i="1"/>
  <c r="AF303" i="1"/>
  <c r="Q303" i="1"/>
  <c r="D303" i="1"/>
  <c r="AQ302" i="1"/>
  <c r="P302" i="1" s="1"/>
  <c r="AJ302" i="1"/>
  <c r="AI302" i="1"/>
  <c r="AH302" i="1"/>
  <c r="AG302" i="1"/>
  <c r="AF302" i="1"/>
  <c r="Q302" i="1"/>
  <c r="N302" i="1"/>
  <c r="G302" i="1" s="1"/>
  <c r="M302" i="1"/>
  <c r="H302" i="1" s="1"/>
  <c r="L302" i="1"/>
  <c r="I302" i="1" s="1"/>
  <c r="K302" i="1"/>
  <c r="J302" i="1" s="1"/>
  <c r="D302" i="1"/>
  <c r="AQ301" i="1"/>
  <c r="P301" i="1" s="1"/>
  <c r="AJ301" i="1"/>
  <c r="AI301" i="1"/>
  <c r="AH301" i="1"/>
  <c r="AG301" i="1"/>
  <c r="AF301" i="1"/>
  <c r="Q301" i="1"/>
  <c r="N301" i="1"/>
  <c r="G301" i="1" s="1"/>
  <c r="M301" i="1"/>
  <c r="H301" i="1" s="1"/>
  <c r="L301" i="1"/>
  <c r="I301" i="1" s="1"/>
  <c r="K301" i="1"/>
  <c r="J301" i="1" s="1"/>
  <c r="D301" i="1"/>
  <c r="AQ300" i="1"/>
  <c r="P300" i="1" s="1"/>
  <c r="AJ300" i="1"/>
  <c r="AI300" i="1"/>
  <c r="AH300" i="1"/>
  <c r="AG300" i="1"/>
  <c r="AF300" i="1"/>
  <c r="Q300" i="1"/>
  <c r="N300" i="1"/>
  <c r="G300" i="1" s="1"/>
  <c r="M300" i="1"/>
  <c r="H300" i="1" s="1"/>
  <c r="L300" i="1"/>
  <c r="I300" i="1" s="1"/>
  <c r="K300" i="1"/>
  <c r="J300" i="1" s="1"/>
  <c r="D300" i="1"/>
  <c r="AQ299" i="1"/>
  <c r="P299" i="1" s="1"/>
  <c r="AJ299" i="1"/>
  <c r="AI299" i="1"/>
  <c r="AH299" i="1"/>
  <c r="AG299" i="1"/>
  <c r="AF299" i="1"/>
  <c r="Q299" i="1"/>
  <c r="N299" i="1"/>
  <c r="G299" i="1" s="1"/>
  <c r="M299" i="1"/>
  <c r="H299" i="1" s="1"/>
  <c r="L299" i="1"/>
  <c r="I299" i="1" s="1"/>
  <c r="K299" i="1"/>
  <c r="J299" i="1" s="1"/>
  <c r="D299" i="1"/>
  <c r="AQ298" i="1"/>
  <c r="P298" i="1" s="1"/>
  <c r="AJ298" i="1"/>
  <c r="AI298" i="1"/>
  <c r="AH298" i="1"/>
  <c r="AG298" i="1"/>
  <c r="AF298" i="1"/>
  <c r="Q298" i="1"/>
  <c r="D298" i="1"/>
  <c r="AQ297" i="1"/>
  <c r="P297" i="1" s="1"/>
  <c r="AJ297" i="1"/>
  <c r="AI297" i="1"/>
  <c r="AH297" i="1"/>
  <c r="AG297" i="1"/>
  <c r="AF297" i="1"/>
  <c r="Q297" i="1"/>
  <c r="N297" i="1"/>
  <c r="G297" i="1" s="1"/>
  <c r="M297" i="1"/>
  <c r="H297" i="1" s="1"/>
  <c r="L297" i="1"/>
  <c r="I297" i="1" s="1"/>
  <c r="K297" i="1"/>
  <c r="J297" i="1" s="1"/>
  <c r="D297" i="1"/>
  <c r="AQ296" i="1"/>
  <c r="P296" i="1" s="1"/>
  <c r="AJ296" i="1"/>
  <c r="AI296" i="1"/>
  <c r="AH296" i="1"/>
  <c r="AG296" i="1"/>
  <c r="AF296" i="1"/>
  <c r="Q296" i="1"/>
  <c r="N296" i="1"/>
  <c r="G296" i="1" s="1"/>
  <c r="M296" i="1"/>
  <c r="H296" i="1" s="1"/>
  <c r="L296" i="1"/>
  <c r="I296" i="1" s="1"/>
  <c r="K296" i="1"/>
  <c r="J296" i="1" s="1"/>
  <c r="D296" i="1"/>
  <c r="AQ295" i="1"/>
  <c r="P295" i="1" s="1"/>
  <c r="AJ295" i="1"/>
  <c r="AI295" i="1"/>
  <c r="AH295" i="1"/>
  <c r="AG295" i="1"/>
  <c r="AF295" i="1"/>
  <c r="Q295" i="1"/>
  <c r="N295" i="1"/>
  <c r="G295" i="1" s="1"/>
  <c r="M295" i="1"/>
  <c r="H295" i="1" s="1"/>
  <c r="L295" i="1"/>
  <c r="I295" i="1" s="1"/>
  <c r="K295" i="1"/>
  <c r="J295" i="1" s="1"/>
  <c r="D295" i="1"/>
  <c r="AQ294" i="1"/>
  <c r="P294" i="1" s="1"/>
  <c r="AJ294" i="1"/>
  <c r="AI294" i="1"/>
  <c r="AH294" i="1"/>
  <c r="AG294" i="1"/>
  <c r="AF294" i="1"/>
  <c r="Q294" i="1"/>
  <c r="N294" i="1"/>
  <c r="G294" i="1" s="1"/>
  <c r="M294" i="1"/>
  <c r="H294" i="1" s="1"/>
  <c r="L294" i="1"/>
  <c r="I294" i="1" s="1"/>
  <c r="K294" i="1"/>
  <c r="J294" i="1" s="1"/>
  <c r="D294" i="1"/>
  <c r="AQ293" i="1"/>
  <c r="P293" i="1" s="1"/>
  <c r="AJ293" i="1"/>
  <c r="AI293" i="1"/>
  <c r="AH293" i="1"/>
  <c r="AG293" i="1"/>
  <c r="AF293" i="1"/>
  <c r="Q293" i="1"/>
  <c r="D293" i="1"/>
  <c r="AQ267" i="1"/>
  <c r="P267" i="1" s="1"/>
  <c r="AJ267" i="1"/>
  <c r="AI267" i="1"/>
  <c r="AH267" i="1"/>
  <c r="AG267" i="1"/>
  <c r="AF267" i="1"/>
  <c r="Q267" i="1"/>
  <c r="N267" i="1"/>
  <c r="G267" i="1" s="1"/>
  <c r="M267" i="1"/>
  <c r="H267" i="1" s="1"/>
  <c r="L267" i="1"/>
  <c r="I267" i="1" s="1"/>
  <c r="K267" i="1"/>
  <c r="J267" i="1" s="1"/>
  <c r="D267" i="1"/>
  <c r="AQ266" i="1"/>
  <c r="P266" i="1" s="1"/>
  <c r="AJ266" i="1"/>
  <c r="AI266" i="1"/>
  <c r="AH266" i="1"/>
  <c r="AG266" i="1"/>
  <c r="AF266" i="1"/>
  <c r="Q266" i="1"/>
  <c r="D266" i="1"/>
  <c r="AQ265" i="1"/>
  <c r="P265" i="1" s="1"/>
  <c r="AJ265" i="1"/>
  <c r="AI265" i="1"/>
  <c r="AH265" i="1"/>
  <c r="AG265" i="1"/>
  <c r="AF265" i="1"/>
  <c r="Q265" i="1"/>
  <c r="N265" i="1"/>
  <c r="G265" i="1" s="1"/>
  <c r="M265" i="1"/>
  <c r="H265" i="1" s="1"/>
  <c r="L265" i="1"/>
  <c r="I265" i="1" s="1"/>
  <c r="K265" i="1"/>
  <c r="J265" i="1" s="1"/>
  <c r="D265" i="1"/>
  <c r="AQ264" i="1"/>
  <c r="P264" i="1" s="1"/>
  <c r="AJ264" i="1"/>
  <c r="AI264" i="1"/>
  <c r="AH264" i="1"/>
  <c r="AG264" i="1"/>
  <c r="AF264" i="1"/>
  <c r="Q264" i="1"/>
  <c r="D264" i="1"/>
  <c r="AQ263" i="1"/>
  <c r="P263" i="1" s="1"/>
  <c r="AJ263" i="1"/>
  <c r="AI263" i="1"/>
  <c r="AH263" i="1"/>
  <c r="AG263" i="1"/>
  <c r="AF263" i="1"/>
  <c r="Q263" i="1"/>
  <c r="N263" i="1"/>
  <c r="G263" i="1" s="1"/>
  <c r="M263" i="1"/>
  <c r="H263" i="1" s="1"/>
  <c r="L263" i="1"/>
  <c r="I263" i="1" s="1"/>
  <c r="K263" i="1"/>
  <c r="J263" i="1" s="1"/>
  <c r="D263" i="1"/>
  <c r="AQ262" i="1"/>
  <c r="P262" i="1" s="1"/>
  <c r="AJ262" i="1"/>
  <c r="AI262" i="1"/>
  <c r="AH262" i="1"/>
  <c r="AG262" i="1"/>
  <c r="AF262" i="1"/>
  <c r="Q262" i="1"/>
  <c r="D262" i="1"/>
  <c r="AQ261" i="1"/>
  <c r="P261" i="1" s="1"/>
  <c r="AJ261" i="1"/>
  <c r="AI261" i="1"/>
  <c r="AH261" i="1"/>
  <c r="AG261" i="1"/>
  <c r="AF261" i="1"/>
  <c r="Q261" i="1"/>
  <c r="N261" i="1"/>
  <c r="G261" i="1" s="1"/>
  <c r="M261" i="1"/>
  <c r="H261" i="1" s="1"/>
  <c r="L261" i="1"/>
  <c r="I261" i="1" s="1"/>
  <c r="K261" i="1"/>
  <c r="J261" i="1" s="1"/>
  <c r="D261" i="1"/>
  <c r="AQ260" i="1"/>
  <c r="P260" i="1" s="1"/>
  <c r="AJ260" i="1"/>
  <c r="AI260" i="1"/>
  <c r="AH260" i="1"/>
  <c r="AG260" i="1"/>
  <c r="AF260" i="1"/>
  <c r="Q260" i="1"/>
  <c r="D260" i="1"/>
  <c r="AQ259" i="1"/>
  <c r="P259" i="1" s="1"/>
  <c r="AJ259" i="1"/>
  <c r="AI259" i="1"/>
  <c r="AH259" i="1"/>
  <c r="AG259" i="1"/>
  <c r="AF259" i="1"/>
  <c r="Q259" i="1"/>
  <c r="N259" i="1"/>
  <c r="G259" i="1" s="1"/>
  <c r="M259" i="1"/>
  <c r="H259" i="1" s="1"/>
  <c r="L259" i="1"/>
  <c r="I259" i="1" s="1"/>
  <c r="K259" i="1"/>
  <c r="J259" i="1" s="1"/>
  <c r="D259" i="1"/>
  <c r="AQ258" i="1"/>
  <c r="P258" i="1" s="1"/>
  <c r="AJ258" i="1"/>
  <c r="AI258" i="1"/>
  <c r="AH258" i="1"/>
  <c r="AG258" i="1"/>
  <c r="AF258" i="1"/>
  <c r="Q258" i="1"/>
  <c r="D258" i="1"/>
  <c r="AQ247" i="1"/>
  <c r="P247" i="1" s="1"/>
  <c r="AJ247" i="1"/>
  <c r="AI247" i="1"/>
  <c r="AH247" i="1"/>
  <c r="AG247" i="1"/>
  <c r="AF247" i="1"/>
  <c r="Q247" i="1"/>
  <c r="N247" i="1"/>
  <c r="G247" i="1" s="1"/>
  <c r="M247" i="1"/>
  <c r="H247" i="1" s="1"/>
  <c r="L247" i="1"/>
  <c r="I247" i="1" s="1"/>
  <c r="K247" i="1"/>
  <c r="J247" i="1" s="1"/>
  <c r="D247" i="1"/>
  <c r="AQ246" i="1"/>
  <c r="P246" i="1" s="1"/>
  <c r="AJ246" i="1"/>
  <c r="AI246" i="1"/>
  <c r="AH246" i="1"/>
  <c r="AG246" i="1"/>
  <c r="AF246" i="1"/>
  <c r="Q246" i="1"/>
  <c r="N246" i="1"/>
  <c r="G246" i="1" s="1"/>
  <c r="M246" i="1"/>
  <c r="H246" i="1" s="1"/>
  <c r="L246" i="1"/>
  <c r="I246" i="1" s="1"/>
  <c r="K246" i="1"/>
  <c r="J246" i="1" s="1"/>
  <c r="D246" i="1"/>
  <c r="AQ245" i="1"/>
  <c r="P245" i="1" s="1"/>
  <c r="AJ245" i="1"/>
  <c r="AI245" i="1"/>
  <c r="AH245" i="1"/>
  <c r="AG245" i="1"/>
  <c r="AF245" i="1"/>
  <c r="Q245" i="1"/>
  <c r="D245" i="1"/>
  <c r="AQ244" i="1"/>
  <c r="P244" i="1" s="1"/>
  <c r="AJ244" i="1"/>
  <c r="AI244" i="1"/>
  <c r="AH244" i="1"/>
  <c r="AG244" i="1"/>
  <c r="AF244" i="1"/>
  <c r="Q244" i="1"/>
  <c r="N244" i="1"/>
  <c r="G244" i="1" s="1"/>
  <c r="M244" i="1"/>
  <c r="H244" i="1" s="1"/>
  <c r="L244" i="1"/>
  <c r="I244" i="1" s="1"/>
  <c r="K244" i="1"/>
  <c r="J244" i="1" s="1"/>
  <c r="D244" i="1"/>
  <c r="AQ243" i="1"/>
  <c r="P243" i="1" s="1"/>
  <c r="AJ243" i="1"/>
  <c r="AI243" i="1"/>
  <c r="AH243" i="1"/>
  <c r="AG243" i="1"/>
  <c r="AF243" i="1"/>
  <c r="Q243" i="1"/>
  <c r="N243" i="1"/>
  <c r="G243" i="1" s="1"/>
  <c r="M243" i="1"/>
  <c r="H243" i="1" s="1"/>
  <c r="L243" i="1"/>
  <c r="I243" i="1" s="1"/>
  <c r="K243" i="1"/>
  <c r="J243" i="1" s="1"/>
  <c r="D243" i="1"/>
  <c r="AQ242" i="1"/>
  <c r="P242" i="1" s="1"/>
  <c r="AJ242" i="1"/>
  <c r="AI242" i="1"/>
  <c r="AH242" i="1"/>
  <c r="AG242" i="1"/>
  <c r="AF242" i="1"/>
  <c r="Q242" i="1"/>
  <c r="D242" i="1"/>
  <c r="AQ241" i="1"/>
  <c r="P241" i="1" s="1"/>
  <c r="AJ241" i="1"/>
  <c r="AI241" i="1"/>
  <c r="AH241" i="1"/>
  <c r="AG241" i="1"/>
  <c r="AF241" i="1"/>
  <c r="Q241" i="1"/>
  <c r="N241" i="1"/>
  <c r="G241" i="1" s="1"/>
  <c r="M241" i="1"/>
  <c r="H241" i="1" s="1"/>
  <c r="L241" i="1"/>
  <c r="I241" i="1" s="1"/>
  <c r="K241" i="1"/>
  <c r="J241" i="1" s="1"/>
  <c r="D241" i="1"/>
  <c r="AQ240" i="1"/>
  <c r="P240" i="1" s="1"/>
  <c r="AJ240" i="1"/>
  <c r="AI240" i="1"/>
  <c r="AH240" i="1"/>
  <c r="AG240" i="1"/>
  <c r="AF240" i="1"/>
  <c r="Q240" i="1"/>
  <c r="N240" i="1"/>
  <c r="G240" i="1" s="1"/>
  <c r="M240" i="1"/>
  <c r="H240" i="1" s="1"/>
  <c r="L240" i="1"/>
  <c r="I240" i="1" s="1"/>
  <c r="K240" i="1"/>
  <c r="J240" i="1" s="1"/>
  <c r="D240" i="1"/>
  <c r="AQ239" i="1"/>
  <c r="P239" i="1" s="1"/>
  <c r="AJ239" i="1"/>
  <c r="AI239" i="1"/>
  <c r="AH239" i="1"/>
  <c r="AG239" i="1"/>
  <c r="AF239" i="1"/>
  <c r="Q239" i="1"/>
  <c r="D239" i="1"/>
  <c r="AQ238" i="1"/>
  <c r="P238" i="1" s="1"/>
  <c r="AJ238" i="1"/>
  <c r="AI238" i="1"/>
  <c r="AH238" i="1"/>
  <c r="AG238" i="1"/>
  <c r="AF238" i="1"/>
  <c r="Q238" i="1"/>
  <c r="N238" i="1"/>
  <c r="G238" i="1" s="1"/>
  <c r="M238" i="1"/>
  <c r="H238" i="1" s="1"/>
  <c r="L238" i="1"/>
  <c r="I238" i="1" s="1"/>
  <c r="K238" i="1"/>
  <c r="J238" i="1" s="1"/>
  <c r="D238" i="1"/>
  <c r="AQ237" i="1"/>
  <c r="P237" i="1" s="1"/>
  <c r="AJ237" i="1"/>
  <c r="AI237" i="1"/>
  <c r="AH237" i="1"/>
  <c r="AG237" i="1"/>
  <c r="AF237" i="1"/>
  <c r="Q237" i="1"/>
  <c r="N237" i="1"/>
  <c r="G237" i="1" s="1"/>
  <c r="M237" i="1"/>
  <c r="H237" i="1" s="1"/>
  <c r="L237" i="1"/>
  <c r="I237" i="1" s="1"/>
  <c r="K237" i="1"/>
  <c r="J237" i="1" s="1"/>
  <c r="D237" i="1"/>
  <c r="AQ236" i="1"/>
  <c r="P236" i="1" s="1"/>
  <c r="AJ236" i="1"/>
  <c r="AI236" i="1"/>
  <c r="AH236" i="1"/>
  <c r="AG236" i="1"/>
  <c r="AF236" i="1"/>
  <c r="Q236" i="1"/>
  <c r="D236" i="1"/>
  <c r="AQ235" i="1"/>
  <c r="P235" i="1" s="1"/>
  <c r="AJ235" i="1"/>
  <c r="AI235" i="1"/>
  <c r="AH235" i="1"/>
  <c r="AG235" i="1"/>
  <c r="AF235" i="1"/>
  <c r="Q235" i="1"/>
  <c r="N235" i="1"/>
  <c r="G235" i="1" s="1"/>
  <c r="M235" i="1"/>
  <c r="H235" i="1" s="1"/>
  <c r="L235" i="1"/>
  <c r="I235" i="1" s="1"/>
  <c r="K235" i="1"/>
  <c r="J235" i="1" s="1"/>
  <c r="D235" i="1"/>
  <c r="AQ234" i="1"/>
  <c r="P234" i="1" s="1"/>
  <c r="AJ234" i="1"/>
  <c r="AI234" i="1"/>
  <c r="AH234" i="1"/>
  <c r="AG234" i="1"/>
  <c r="AF234" i="1"/>
  <c r="Q234" i="1"/>
  <c r="N234" i="1"/>
  <c r="G234" i="1" s="1"/>
  <c r="M234" i="1"/>
  <c r="H234" i="1" s="1"/>
  <c r="L234" i="1"/>
  <c r="I234" i="1" s="1"/>
  <c r="K234" i="1"/>
  <c r="J234" i="1" s="1"/>
  <c r="D234" i="1"/>
  <c r="AQ233" i="1"/>
  <c r="P233" i="1" s="1"/>
  <c r="AJ233" i="1"/>
  <c r="AI233" i="1"/>
  <c r="AH233" i="1"/>
  <c r="AG233" i="1"/>
  <c r="AF233" i="1"/>
  <c r="Q233" i="1"/>
  <c r="D233" i="1"/>
  <c r="AQ232" i="1"/>
  <c r="P232" i="1" s="1"/>
  <c r="AJ232" i="1"/>
  <c r="AI232" i="1"/>
  <c r="AH232" i="1"/>
  <c r="AG232" i="1"/>
  <c r="AF232" i="1"/>
  <c r="Q232" i="1"/>
  <c r="N232" i="1"/>
  <c r="G232" i="1" s="1"/>
  <c r="M232" i="1"/>
  <c r="H232" i="1" s="1"/>
  <c r="L232" i="1"/>
  <c r="I232" i="1" s="1"/>
  <c r="K232" i="1"/>
  <c r="J232" i="1" s="1"/>
  <c r="D232" i="1"/>
  <c r="AQ231" i="1"/>
  <c r="P231" i="1" s="1"/>
  <c r="AJ231" i="1"/>
  <c r="AI231" i="1"/>
  <c r="AH231" i="1"/>
  <c r="AG231" i="1"/>
  <c r="AF231" i="1"/>
  <c r="Q231" i="1"/>
  <c r="N231" i="1"/>
  <c r="G231" i="1" s="1"/>
  <c r="M231" i="1"/>
  <c r="H231" i="1" s="1"/>
  <c r="L231" i="1"/>
  <c r="I231" i="1" s="1"/>
  <c r="K231" i="1"/>
  <c r="J231" i="1" s="1"/>
  <c r="D231" i="1"/>
  <c r="AQ230" i="1"/>
  <c r="P230" i="1" s="1"/>
  <c r="AJ230" i="1"/>
  <c r="AI230" i="1"/>
  <c r="AH230" i="1"/>
  <c r="AG230" i="1"/>
  <c r="AF230" i="1"/>
  <c r="Q230" i="1"/>
  <c r="D230" i="1"/>
  <c r="AQ229" i="1"/>
  <c r="P229" i="1" s="1"/>
  <c r="AJ229" i="1"/>
  <c r="AI229" i="1"/>
  <c r="AH229" i="1"/>
  <c r="AG229" i="1"/>
  <c r="AF229" i="1"/>
  <c r="Q229" i="1"/>
  <c r="N229" i="1"/>
  <c r="G229" i="1" s="1"/>
  <c r="M229" i="1"/>
  <c r="H229" i="1" s="1"/>
  <c r="L229" i="1"/>
  <c r="I229" i="1" s="1"/>
  <c r="K229" i="1"/>
  <c r="J229" i="1" s="1"/>
  <c r="D229" i="1"/>
  <c r="AQ228" i="1"/>
  <c r="P228" i="1" s="1"/>
  <c r="AJ228" i="1"/>
  <c r="AI228" i="1"/>
  <c r="AH228" i="1"/>
  <c r="AG228" i="1"/>
  <c r="AF228" i="1"/>
  <c r="Q228" i="1"/>
  <c r="N228" i="1"/>
  <c r="G228" i="1" s="1"/>
  <c r="M228" i="1"/>
  <c r="H228" i="1" s="1"/>
  <c r="L228" i="1"/>
  <c r="I228" i="1" s="1"/>
  <c r="K228" i="1"/>
  <c r="J228" i="1" s="1"/>
  <c r="D228" i="1"/>
  <c r="AQ227" i="1"/>
  <c r="P227" i="1" s="1"/>
  <c r="AJ227" i="1"/>
  <c r="AI227" i="1"/>
  <c r="AH227" i="1"/>
  <c r="AG227" i="1"/>
  <c r="AF227" i="1"/>
  <c r="Q227" i="1"/>
  <c r="D227" i="1"/>
  <c r="AQ205" i="1"/>
  <c r="P205" i="1" s="1"/>
  <c r="AJ205" i="1"/>
  <c r="AI205" i="1"/>
  <c r="AH205" i="1"/>
  <c r="AG205" i="1"/>
  <c r="AF205" i="1"/>
  <c r="Q205" i="1"/>
  <c r="N205" i="1"/>
  <c r="G205" i="1" s="1"/>
  <c r="M205" i="1"/>
  <c r="H205" i="1" s="1"/>
  <c r="L205" i="1"/>
  <c r="I205" i="1" s="1"/>
  <c r="K205" i="1"/>
  <c r="J205" i="1" s="1"/>
  <c r="D205" i="1"/>
  <c r="AQ204" i="1"/>
  <c r="P204" i="1" s="1"/>
  <c r="AJ204" i="1"/>
  <c r="AI204" i="1"/>
  <c r="AH204" i="1"/>
  <c r="AG204" i="1"/>
  <c r="AF204" i="1"/>
  <c r="Q204" i="1"/>
  <c r="N204" i="1"/>
  <c r="G204" i="1" s="1"/>
  <c r="M204" i="1"/>
  <c r="H204" i="1" s="1"/>
  <c r="L204" i="1"/>
  <c r="I204" i="1" s="1"/>
  <c r="K204" i="1"/>
  <c r="J204" i="1" s="1"/>
  <c r="D204" i="1"/>
  <c r="AQ203" i="1"/>
  <c r="P203" i="1" s="1"/>
  <c r="AJ203" i="1"/>
  <c r="AI203" i="1"/>
  <c r="AH203" i="1"/>
  <c r="AG203" i="1"/>
  <c r="AF203" i="1"/>
  <c r="Q203" i="1"/>
  <c r="D203" i="1"/>
  <c r="AQ202" i="1"/>
  <c r="P202" i="1" s="1"/>
  <c r="AJ202" i="1"/>
  <c r="AI202" i="1"/>
  <c r="AH202" i="1"/>
  <c r="AG202" i="1"/>
  <c r="AF202" i="1"/>
  <c r="Q202" i="1"/>
  <c r="D202" i="1"/>
  <c r="AQ201" i="1"/>
  <c r="P201" i="1" s="1"/>
  <c r="AJ201" i="1"/>
  <c r="AI201" i="1"/>
  <c r="AH201" i="1"/>
  <c r="AG201" i="1"/>
  <c r="AF201" i="1"/>
  <c r="Q201" i="1"/>
  <c r="N201" i="1"/>
  <c r="G201" i="1" s="1"/>
  <c r="M201" i="1"/>
  <c r="H201" i="1" s="1"/>
  <c r="L201" i="1"/>
  <c r="I201" i="1" s="1"/>
  <c r="K201" i="1"/>
  <c r="J201" i="1" s="1"/>
  <c r="D201" i="1"/>
  <c r="AQ200" i="1"/>
  <c r="P200" i="1" s="1"/>
  <c r="AJ200" i="1"/>
  <c r="AI200" i="1"/>
  <c r="AH200" i="1"/>
  <c r="AG200" i="1"/>
  <c r="AF200" i="1"/>
  <c r="Q200" i="1"/>
  <c r="N200" i="1"/>
  <c r="G200" i="1" s="1"/>
  <c r="M200" i="1"/>
  <c r="H200" i="1" s="1"/>
  <c r="L200" i="1"/>
  <c r="I200" i="1" s="1"/>
  <c r="K200" i="1"/>
  <c r="J200" i="1" s="1"/>
  <c r="D200" i="1"/>
  <c r="AQ199" i="1"/>
  <c r="P199" i="1" s="1"/>
  <c r="AJ199" i="1"/>
  <c r="AI199" i="1"/>
  <c r="AH199" i="1"/>
  <c r="AG199" i="1"/>
  <c r="AF199" i="1"/>
  <c r="Q199" i="1"/>
  <c r="D199" i="1"/>
  <c r="AQ198" i="1"/>
  <c r="P198" i="1" s="1"/>
  <c r="AJ198" i="1"/>
  <c r="AI198" i="1"/>
  <c r="AH198" i="1"/>
  <c r="AG198" i="1"/>
  <c r="AF198" i="1"/>
  <c r="Q198" i="1"/>
  <c r="D198" i="1"/>
  <c r="AQ197" i="1"/>
  <c r="P197" i="1" s="1"/>
  <c r="AJ197" i="1"/>
  <c r="AI197" i="1"/>
  <c r="AH197" i="1"/>
  <c r="AG197" i="1"/>
  <c r="AF197" i="1"/>
  <c r="Q197" i="1"/>
  <c r="N197" i="1"/>
  <c r="G197" i="1" s="1"/>
  <c r="M197" i="1"/>
  <c r="H197" i="1" s="1"/>
  <c r="L197" i="1"/>
  <c r="I197" i="1" s="1"/>
  <c r="K197" i="1"/>
  <c r="J197" i="1" s="1"/>
  <c r="D197" i="1"/>
  <c r="AQ196" i="1"/>
  <c r="P196" i="1" s="1"/>
  <c r="AJ196" i="1"/>
  <c r="AI196" i="1"/>
  <c r="AH196" i="1"/>
  <c r="AG196" i="1"/>
  <c r="AF196" i="1"/>
  <c r="Q196" i="1"/>
  <c r="N196" i="1"/>
  <c r="G196" i="1" s="1"/>
  <c r="M196" i="1"/>
  <c r="H196" i="1" s="1"/>
  <c r="L196" i="1"/>
  <c r="I196" i="1" s="1"/>
  <c r="K196" i="1"/>
  <c r="J196" i="1" s="1"/>
  <c r="D196" i="1"/>
  <c r="AQ195" i="1"/>
  <c r="P195" i="1" s="1"/>
  <c r="AJ195" i="1"/>
  <c r="AI195" i="1"/>
  <c r="AH195" i="1"/>
  <c r="AG195" i="1"/>
  <c r="AF195" i="1"/>
  <c r="Q195" i="1"/>
  <c r="D195" i="1"/>
  <c r="AQ194" i="1"/>
  <c r="P194" i="1" s="1"/>
  <c r="AJ194" i="1"/>
  <c r="AI194" i="1"/>
  <c r="AH194" i="1"/>
  <c r="AG194" i="1"/>
  <c r="AF194" i="1"/>
  <c r="Q194" i="1"/>
  <c r="D194" i="1"/>
  <c r="AQ193" i="1"/>
  <c r="P193" i="1" s="1"/>
  <c r="AJ193" i="1"/>
  <c r="AI193" i="1"/>
  <c r="AH193" i="1"/>
  <c r="AG193" i="1"/>
  <c r="AF193" i="1"/>
  <c r="Q193" i="1"/>
  <c r="N193" i="1"/>
  <c r="G193" i="1" s="1"/>
  <c r="M193" i="1"/>
  <c r="H193" i="1" s="1"/>
  <c r="L193" i="1"/>
  <c r="I193" i="1" s="1"/>
  <c r="K193" i="1"/>
  <c r="J193" i="1" s="1"/>
  <c r="D193" i="1"/>
  <c r="AQ192" i="1"/>
  <c r="P192" i="1" s="1"/>
  <c r="AJ192" i="1"/>
  <c r="AI192" i="1"/>
  <c r="AH192" i="1"/>
  <c r="AG192" i="1"/>
  <c r="AF192" i="1"/>
  <c r="Q192" i="1"/>
  <c r="N192" i="1"/>
  <c r="G192" i="1" s="1"/>
  <c r="M192" i="1"/>
  <c r="H192" i="1" s="1"/>
  <c r="L192" i="1"/>
  <c r="I192" i="1" s="1"/>
  <c r="K192" i="1"/>
  <c r="J192" i="1" s="1"/>
  <c r="D192" i="1"/>
  <c r="AQ191" i="1"/>
  <c r="P191" i="1" s="1"/>
  <c r="AJ191" i="1"/>
  <c r="AI191" i="1"/>
  <c r="AH191" i="1"/>
  <c r="AG191" i="1"/>
  <c r="AF191" i="1"/>
  <c r="Q191" i="1"/>
  <c r="D191" i="1"/>
  <c r="AQ190" i="1"/>
  <c r="P190" i="1" s="1"/>
  <c r="AJ190" i="1"/>
  <c r="AI190" i="1"/>
  <c r="AH190" i="1"/>
  <c r="AG190" i="1"/>
  <c r="AF190" i="1"/>
  <c r="Q190" i="1"/>
  <c r="D190" i="1"/>
  <c r="AQ189" i="1"/>
  <c r="P189" i="1" s="1"/>
  <c r="AJ189" i="1"/>
  <c r="AI189" i="1"/>
  <c r="AH189" i="1"/>
  <c r="AG189" i="1"/>
  <c r="AF189" i="1"/>
  <c r="Q189" i="1"/>
  <c r="N189" i="1"/>
  <c r="G189" i="1" s="1"/>
  <c r="M189" i="1"/>
  <c r="H189" i="1" s="1"/>
  <c r="L189" i="1"/>
  <c r="I189" i="1" s="1"/>
  <c r="K189" i="1"/>
  <c r="J189" i="1" s="1"/>
  <c r="D189" i="1"/>
  <c r="AQ188" i="1"/>
  <c r="P188" i="1" s="1"/>
  <c r="AJ188" i="1"/>
  <c r="AI188" i="1"/>
  <c r="AH188" i="1"/>
  <c r="AG188" i="1"/>
  <c r="AF188" i="1"/>
  <c r="Q188" i="1"/>
  <c r="N188" i="1"/>
  <c r="G188" i="1" s="1"/>
  <c r="M188" i="1"/>
  <c r="H188" i="1" s="1"/>
  <c r="L188" i="1"/>
  <c r="I188" i="1" s="1"/>
  <c r="K188" i="1"/>
  <c r="J188" i="1" s="1"/>
  <c r="D188" i="1"/>
  <c r="AQ187" i="1"/>
  <c r="P187" i="1" s="1"/>
  <c r="AJ187" i="1"/>
  <c r="AI187" i="1"/>
  <c r="AH187" i="1"/>
  <c r="AG187" i="1"/>
  <c r="AF187" i="1"/>
  <c r="Q187" i="1"/>
  <c r="D187" i="1"/>
  <c r="AQ186" i="1"/>
  <c r="P186" i="1" s="1"/>
  <c r="AJ186" i="1"/>
  <c r="AI186" i="1"/>
  <c r="AH186" i="1"/>
  <c r="AG186" i="1"/>
  <c r="AF186" i="1"/>
  <c r="Q186" i="1"/>
  <c r="D186" i="1"/>
  <c r="AQ185" i="1"/>
  <c r="P185" i="1" s="1"/>
  <c r="AJ185" i="1"/>
  <c r="AI185" i="1"/>
  <c r="AH185" i="1"/>
  <c r="AG185" i="1"/>
  <c r="AF185" i="1"/>
  <c r="Q185" i="1"/>
  <c r="N185" i="1"/>
  <c r="G185" i="1" s="1"/>
  <c r="M185" i="1"/>
  <c r="H185" i="1" s="1"/>
  <c r="L185" i="1"/>
  <c r="I185" i="1" s="1"/>
  <c r="K185" i="1"/>
  <c r="J185" i="1" s="1"/>
  <c r="D185" i="1"/>
  <c r="AQ184" i="1"/>
  <c r="P184" i="1" s="1"/>
  <c r="AJ184" i="1"/>
  <c r="AI184" i="1"/>
  <c r="AH184" i="1"/>
  <c r="AG184" i="1"/>
  <c r="AF184" i="1"/>
  <c r="Q184" i="1"/>
  <c r="N184" i="1"/>
  <c r="G184" i="1" s="1"/>
  <c r="M184" i="1"/>
  <c r="H184" i="1" s="1"/>
  <c r="L184" i="1"/>
  <c r="I184" i="1" s="1"/>
  <c r="K184" i="1"/>
  <c r="J184" i="1" s="1"/>
  <c r="D184" i="1"/>
  <c r="AQ183" i="1"/>
  <c r="P183" i="1" s="1"/>
  <c r="AJ183" i="1"/>
  <c r="AI183" i="1"/>
  <c r="AH183" i="1"/>
  <c r="AG183" i="1"/>
  <c r="AF183" i="1"/>
  <c r="Q183" i="1"/>
  <c r="D183" i="1"/>
  <c r="AQ182" i="1"/>
  <c r="P182" i="1" s="1"/>
  <c r="AJ182" i="1"/>
  <c r="AI182" i="1"/>
  <c r="AH182" i="1"/>
  <c r="AG182" i="1"/>
  <c r="AF182" i="1"/>
  <c r="Q182" i="1"/>
  <c r="D182" i="1"/>
  <c r="AQ181" i="1"/>
  <c r="P181" i="1" s="1"/>
  <c r="AJ181" i="1"/>
  <c r="AI181" i="1"/>
  <c r="AH181" i="1"/>
  <c r="AG181" i="1"/>
  <c r="AF181" i="1"/>
  <c r="Q181" i="1"/>
  <c r="N181" i="1"/>
  <c r="G181" i="1" s="1"/>
  <c r="M181" i="1"/>
  <c r="H181" i="1" s="1"/>
  <c r="L181" i="1"/>
  <c r="I181" i="1" s="1"/>
  <c r="K181" i="1"/>
  <c r="J181" i="1" s="1"/>
  <c r="D181" i="1"/>
  <c r="AQ180" i="1"/>
  <c r="P180" i="1" s="1"/>
  <c r="AJ180" i="1"/>
  <c r="AI180" i="1"/>
  <c r="AH180" i="1"/>
  <c r="AG180" i="1"/>
  <c r="AF180" i="1"/>
  <c r="Q180" i="1"/>
  <c r="N180" i="1"/>
  <c r="G180" i="1" s="1"/>
  <c r="M180" i="1"/>
  <c r="H180" i="1" s="1"/>
  <c r="L180" i="1"/>
  <c r="I180" i="1" s="1"/>
  <c r="K180" i="1"/>
  <c r="J180" i="1" s="1"/>
  <c r="D180" i="1"/>
  <c r="AQ179" i="1"/>
  <c r="P179" i="1" s="1"/>
  <c r="AJ179" i="1"/>
  <c r="AI179" i="1"/>
  <c r="AH179" i="1"/>
  <c r="AG179" i="1"/>
  <c r="AF179" i="1"/>
  <c r="Q179" i="1"/>
  <c r="D179" i="1"/>
  <c r="AQ178" i="1"/>
  <c r="P178" i="1" s="1"/>
  <c r="AJ178" i="1"/>
  <c r="AI178" i="1"/>
  <c r="AH178" i="1"/>
  <c r="AG178" i="1"/>
  <c r="AF178" i="1"/>
  <c r="Q178" i="1"/>
  <c r="D178" i="1"/>
  <c r="AQ177" i="1"/>
  <c r="P177" i="1" s="1"/>
  <c r="AJ177" i="1"/>
  <c r="AI177" i="1"/>
  <c r="AH177" i="1"/>
  <c r="AG177" i="1"/>
  <c r="AF177" i="1"/>
  <c r="Q177" i="1"/>
  <c r="N177" i="1"/>
  <c r="G177" i="1" s="1"/>
  <c r="M177" i="1"/>
  <c r="H177" i="1" s="1"/>
  <c r="L177" i="1"/>
  <c r="I177" i="1" s="1"/>
  <c r="K177" i="1"/>
  <c r="J177" i="1" s="1"/>
  <c r="D177" i="1"/>
  <c r="AQ176" i="1"/>
  <c r="P176" i="1" s="1"/>
  <c r="AJ176" i="1"/>
  <c r="AI176" i="1"/>
  <c r="AH176" i="1"/>
  <c r="AG176" i="1"/>
  <c r="AF176" i="1"/>
  <c r="Q176" i="1"/>
  <c r="N176" i="1"/>
  <c r="G176" i="1" s="1"/>
  <c r="M176" i="1"/>
  <c r="H176" i="1" s="1"/>
  <c r="L176" i="1"/>
  <c r="I176" i="1" s="1"/>
  <c r="K176" i="1"/>
  <c r="J176" i="1" s="1"/>
  <c r="D176" i="1"/>
  <c r="AQ175" i="1"/>
  <c r="P175" i="1" s="1"/>
  <c r="AJ175" i="1"/>
  <c r="AI175" i="1"/>
  <c r="AH175" i="1"/>
  <c r="AG175" i="1"/>
  <c r="AF175" i="1"/>
  <c r="Q175" i="1"/>
  <c r="D175" i="1"/>
  <c r="AQ174" i="1"/>
  <c r="P174" i="1" s="1"/>
  <c r="AJ174" i="1"/>
  <c r="AI174" i="1"/>
  <c r="AH174" i="1"/>
  <c r="AG174" i="1"/>
  <c r="AF174" i="1"/>
  <c r="Q174" i="1"/>
  <c r="D174" i="1"/>
  <c r="AQ173" i="1"/>
  <c r="P173" i="1" s="1"/>
  <c r="AJ173" i="1"/>
  <c r="AI173" i="1"/>
  <c r="AH173" i="1"/>
  <c r="AG173" i="1"/>
  <c r="AF173" i="1"/>
  <c r="Q173" i="1"/>
  <c r="N173" i="1"/>
  <c r="G173" i="1" s="1"/>
  <c r="M173" i="1"/>
  <c r="H173" i="1" s="1"/>
  <c r="L173" i="1"/>
  <c r="I173" i="1" s="1"/>
  <c r="K173" i="1"/>
  <c r="J173" i="1" s="1"/>
  <c r="D173" i="1"/>
  <c r="AQ172" i="1"/>
  <c r="P172" i="1" s="1"/>
  <c r="AJ172" i="1"/>
  <c r="AI172" i="1"/>
  <c r="AH172" i="1"/>
  <c r="AG172" i="1"/>
  <c r="AF172" i="1"/>
  <c r="Q172" i="1"/>
  <c r="N172" i="1"/>
  <c r="G172" i="1" s="1"/>
  <c r="M172" i="1"/>
  <c r="H172" i="1" s="1"/>
  <c r="L172" i="1"/>
  <c r="I172" i="1" s="1"/>
  <c r="K172" i="1"/>
  <c r="J172" i="1" s="1"/>
  <c r="D172" i="1"/>
  <c r="AQ171" i="1"/>
  <c r="P171" i="1" s="1"/>
  <c r="AJ171" i="1"/>
  <c r="AI171" i="1"/>
  <c r="AH171" i="1"/>
  <c r="AG171" i="1"/>
  <c r="AF171" i="1"/>
  <c r="Q171" i="1"/>
  <c r="D171" i="1"/>
  <c r="AQ170" i="1"/>
  <c r="P170" i="1" s="1"/>
  <c r="AJ170" i="1"/>
  <c r="AI170" i="1"/>
  <c r="AH170" i="1"/>
  <c r="AG170" i="1"/>
  <c r="AF170" i="1"/>
  <c r="Q170" i="1"/>
  <c r="D170" i="1"/>
  <c r="AQ169" i="1"/>
  <c r="P169" i="1" s="1"/>
  <c r="AJ169" i="1"/>
  <c r="AI169" i="1"/>
  <c r="AH169" i="1"/>
  <c r="AG169" i="1"/>
  <c r="AF169" i="1"/>
  <c r="Q169" i="1"/>
  <c r="N169" i="1"/>
  <c r="G169" i="1" s="1"/>
  <c r="M169" i="1"/>
  <c r="H169" i="1" s="1"/>
  <c r="L169" i="1"/>
  <c r="I169" i="1" s="1"/>
  <c r="K169" i="1"/>
  <c r="J169" i="1" s="1"/>
  <c r="D169" i="1"/>
  <c r="AQ168" i="1"/>
  <c r="P168" i="1" s="1"/>
  <c r="AJ168" i="1"/>
  <c r="AI168" i="1"/>
  <c r="AH168" i="1"/>
  <c r="AG168" i="1"/>
  <c r="AF168" i="1"/>
  <c r="Q168" i="1"/>
  <c r="N168" i="1"/>
  <c r="G168" i="1" s="1"/>
  <c r="M168" i="1"/>
  <c r="H168" i="1" s="1"/>
  <c r="L168" i="1"/>
  <c r="I168" i="1" s="1"/>
  <c r="K168" i="1"/>
  <c r="J168" i="1" s="1"/>
  <c r="D168" i="1"/>
  <c r="AQ167" i="1"/>
  <c r="P167" i="1" s="1"/>
  <c r="AJ167" i="1"/>
  <c r="AI167" i="1"/>
  <c r="AH167" i="1"/>
  <c r="AG167" i="1"/>
  <c r="AF167" i="1"/>
  <c r="Q167" i="1"/>
  <c r="D167" i="1"/>
  <c r="AQ166" i="1"/>
  <c r="P166" i="1" s="1"/>
  <c r="AJ166" i="1"/>
  <c r="AI166" i="1"/>
  <c r="AH166" i="1"/>
  <c r="AG166" i="1"/>
  <c r="AF166" i="1"/>
  <c r="Q166" i="1"/>
  <c r="D166" i="1"/>
  <c r="AI2" i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48" i="1"/>
  <c r="AI249" i="1"/>
  <c r="AI250" i="1"/>
  <c r="AI251" i="1"/>
  <c r="AI252" i="1"/>
  <c r="AI253" i="1"/>
  <c r="AI254" i="1"/>
  <c r="AI255" i="1"/>
  <c r="AI256" i="1"/>
  <c r="AI25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674" i="1"/>
  <c r="AI675" i="1"/>
  <c r="AI676" i="1"/>
  <c r="AI677" i="1"/>
  <c r="AI678" i="1"/>
  <c r="AI679" i="1"/>
  <c r="AI680" i="1"/>
  <c r="AI681" i="1"/>
  <c r="AI682" i="1"/>
  <c r="AI683" i="1"/>
  <c r="AI684" i="1"/>
  <c r="AI685" i="1"/>
  <c r="AI686" i="1"/>
  <c r="AI687" i="1"/>
  <c r="AI688" i="1"/>
  <c r="AI689" i="1"/>
  <c r="AI690" i="1"/>
  <c r="AI691" i="1"/>
  <c r="AI692" i="1"/>
  <c r="AI693" i="1"/>
  <c r="AI694" i="1"/>
  <c r="AI695" i="1"/>
  <c r="AI696" i="1"/>
  <c r="AI697" i="1"/>
  <c r="AI698" i="1"/>
  <c r="AI699" i="1"/>
  <c r="AI700" i="1"/>
  <c r="AI701" i="1"/>
  <c r="AI702" i="1"/>
  <c r="AI703" i="1"/>
  <c r="AI704" i="1"/>
  <c r="AI705" i="1"/>
  <c r="AI706" i="1"/>
  <c r="AI707" i="1"/>
  <c r="AI708" i="1"/>
  <c r="AI709" i="1"/>
  <c r="AI710" i="1"/>
  <c r="AI711" i="1"/>
  <c r="AI712" i="1"/>
  <c r="AI713" i="1"/>
  <c r="AI714" i="1"/>
  <c r="AI715" i="1"/>
  <c r="AI716" i="1"/>
  <c r="AI717" i="1"/>
  <c r="AI718" i="1"/>
  <c r="AI719" i="1"/>
  <c r="AI720" i="1"/>
  <c r="AI721" i="1"/>
  <c r="AI722" i="1"/>
  <c r="AI723" i="1"/>
  <c r="AI724" i="1"/>
  <c r="AI725" i="1"/>
  <c r="AI726" i="1"/>
  <c r="AI727" i="1"/>
  <c r="AI728" i="1"/>
  <c r="AI729" i="1"/>
  <c r="AI730" i="1"/>
  <c r="AI731" i="1"/>
  <c r="AI732" i="1"/>
  <c r="AI733" i="1"/>
  <c r="AI734" i="1"/>
  <c r="AI735" i="1"/>
  <c r="AI736" i="1"/>
  <c r="AI737" i="1"/>
  <c r="AI738" i="1"/>
  <c r="AI739" i="1"/>
  <c r="AI740" i="1"/>
  <c r="AI741" i="1"/>
  <c r="AH2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48" i="1"/>
  <c r="AH249" i="1"/>
  <c r="AH250" i="1"/>
  <c r="AH251" i="1"/>
  <c r="AH252" i="1"/>
  <c r="AH253" i="1"/>
  <c r="AH254" i="1"/>
  <c r="AH255" i="1"/>
  <c r="AH256" i="1"/>
  <c r="AH25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514" i="1"/>
  <c r="AH515" i="1"/>
  <c r="AH516" i="1"/>
  <c r="AH517" i="1"/>
  <c r="AH518" i="1"/>
  <c r="AH519" i="1"/>
  <c r="AH520" i="1"/>
  <c r="AH521" i="1"/>
  <c r="AH522" i="1"/>
  <c r="AH523" i="1"/>
  <c r="AH524" i="1"/>
  <c r="AH525" i="1"/>
  <c r="AH526" i="1"/>
  <c r="AH527" i="1"/>
  <c r="AH528" i="1"/>
  <c r="AH529" i="1"/>
  <c r="AH530" i="1"/>
  <c r="AH531" i="1"/>
  <c r="AH532" i="1"/>
  <c r="AH533" i="1"/>
  <c r="AH534" i="1"/>
  <c r="AH535" i="1"/>
  <c r="AH536" i="1"/>
  <c r="AH537" i="1"/>
  <c r="AH538" i="1"/>
  <c r="AH539" i="1"/>
  <c r="AH540" i="1"/>
  <c r="AH541" i="1"/>
  <c r="AH542" i="1"/>
  <c r="AH543" i="1"/>
  <c r="AH544" i="1"/>
  <c r="AH545" i="1"/>
  <c r="AH546" i="1"/>
  <c r="AH547" i="1"/>
  <c r="AH548" i="1"/>
  <c r="AH549" i="1"/>
  <c r="AH550" i="1"/>
  <c r="AH551" i="1"/>
  <c r="AH552" i="1"/>
  <c r="AH553" i="1"/>
  <c r="AH554" i="1"/>
  <c r="AH555" i="1"/>
  <c r="AH556" i="1"/>
  <c r="AH557" i="1"/>
  <c r="AH558" i="1"/>
  <c r="AH559" i="1"/>
  <c r="AH560" i="1"/>
  <c r="AH561" i="1"/>
  <c r="AH562" i="1"/>
  <c r="AH563" i="1"/>
  <c r="AH564" i="1"/>
  <c r="AH565" i="1"/>
  <c r="AH566" i="1"/>
  <c r="AH567" i="1"/>
  <c r="AH568" i="1"/>
  <c r="AH569" i="1"/>
  <c r="AH570" i="1"/>
  <c r="AH571" i="1"/>
  <c r="AH572" i="1"/>
  <c r="AH573" i="1"/>
  <c r="AH574" i="1"/>
  <c r="AH575" i="1"/>
  <c r="AH576" i="1"/>
  <c r="AH577" i="1"/>
  <c r="AH578" i="1"/>
  <c r="AH579" i="1"/>
  <c r="AH580" i="1"/>
  <c r="AH581" i="1"/>
  <c r="AH582" i="1"/>
  <c r="AH583" i="1"/>
  <c r="AH584" i="1"/>
  <c r="AH585" i="1"/>
  <c r="AH586" i="1"/>
  <c r="AH587" i="1"/>
  <c r="AH588" i="1"/>
  <c r="AH589" i="1"/>
  <c r="AH590" i="1"/>
  <c r="AH591" i="1"/>
  <c r="AH592" i="1"/>
  <c r="AH593" i="1"/>
  <c r="AH674" i="1"/>
  <c r="AH675" i="1"/>
  <c r="AH676" i="1"/>
  <c r="AH677" i="1"/>
  <c r="AH678" i="1"/>
  <c r="AH679" i="1"/>
  <c r="AH680" i="1"/>
  <c r="AH681" i="1"/>
  <c r="AH682" i="1"/>
  <c r="AH683" i="1"/>
  <c r="AH684" i="1"/>
  <c r="AH685" i="1"/>
  <c r="AH686" i="1"/>
  <c r="AH687" i="1"/>
  <c r="AH688" i="1"/>
  <c r="AH689" i="1"/>
  <c r="AH690" i="1"/>
  <c r="AH691" i="1"/>
  <c r="AH692" i="1"/>
  <c r="AH693" i="1"/>
  <c r="AH694" i="1"/>
  <c r="AH695" i="1"/>
  <c r="AH696" i="1"/>
  <c r="AH697" i="1"/>
  <c r="AH698" i="1"/>
  <c r="AH699" i="1"/>
  <c r="AH700" i="1"/>
  <c r="AH701" i="1"/>
  <c r="AH702" i="1"/>
  <c r="AH703" i="1"/>
  <c r="AH704" i="1"/>
  <c r="AH705" i="1"/>
  <c r="AH706" i="1"/>
  <c r="AH707" i="1"/>
  <c r="AH708" i="1"/>
  <c r="AH709" i="1"/>
  <c r="AH710" i="1"/>
  <c r="AH711" i="1"/>
  <c r="AH712" i="1"/>
  <c r="AH713" i="1"/>
  <c r="AH714" i="1"/>
  <c r="AH715" i="1"/>
  <c r="AH716" i="1"/>
  <c r="AH717" i="1"/>
  <c r="AH718" i="1"/>
  <c r="AH719" i="1"/>
  <c r="AH720" i="1"/>
  <c r="AH721" i="1"/>
  <c r="AH722" i="1"/>
  <c r="AH723" i="1"/>
  <c r="AH724" i="1"/>
  <c r="AH725" i="1"/>
  <c r="AH726" i="1"/>
  <c r="AH727" i="1"/>
  <c r="AH728" i="1"/>
  <c r="AH729" i="1"/>
  <c r="AH730" i="1"/>
  <c r="AH731" i="1"/>
  <c r="AH732" i="1"/>
  <c r="AH733" i="1"/>
  <c r="AH734" i="1"/>
  <c r="AH735" i="1"/>
  <c r="AH736" i="1"/>
  <c r="AH737" i="1"/>
  <c r="AH738" i="1"/>
  <c r="AH739" i="1"/>
  <c r="AH740" i="1"/>
  <c r="AH741" i="1"/>
  <c r="AG2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48" i="1"/>
  <c r="AG249" i="1"/>
  <c r="AG250" i="1"/>
  <c r="AG251" i="1"/>
  <c r="AG252" i="1"/>
  <c r="AG253" i="1"/>
  <c r="AG254" i="1"/>
  <c r="AG255" i="1"/>
  <c r="AG256" i="1"/>
  <c r="AG25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674" i="1"/>
  <c r="AG675" i="1"/>
  <c r="AG676" i="1"/>
  <c r="AG677" i="1"/>
  <c r="AG678" i="1"/>
  <c r="AG679" i="1"/>
  <c r="AG680" i="1"/>
  <c r="AG681" i="1"/>
  <c r="AG682" i="1"/>
  <c r="AG683" i="1"/>
  <c r="AG684" i="1"/>
  <c r="AG685" i="1"/>
  <c r="AG686" i="1"/>
  <c r="AG687" i="1"/>
  <c r="AG688" i="1"/>
  <c r="AG689" i="1"/>
  <c r="AG690" i="1"/>
  <c r="AG691" i="1"/>
  <c r="AG692" i="1"/>
  <c r="AG693" i="1"/>
  <c r="AG694" i="1"/>
  <c r="AG695" i="1"/>
  <c r="AG696" i="1"/>
  <c r="AG697" i="1"/>
  <c r="AG698" i="1"/>
  <c r="AG699" i="1"/>
  <c r="AG700" i="1"/>
  <c r="AG701" i="1"/>
  <c r="AG702" i="1"/>
  <c r="AG703" i="1"/>
  <c r="AG704" i="1"/>
  <c r="AG705" i="1"/>
  <c r="AG706" i="1"/>
  <c r="AG707" i="1"/>
  <c r="AG708" i="1"/>
  <c r="AG709" i="1"/>
  <c r="AG710" i="1"/>
  <c r="AG711" i="1"/>
  <c r="AG712" i="1"/>
  <c r="AG713" i="1"/>
  <c r="AG714" i="1"/>
  <c r="AG715" i="1"/>
  <c r="AG716" i="1"/>
  <c r="AG717" i="1"/>
  <c r="AG718" i="1"/>
  <c r="AG719" i="1"/>
  <c r="AG720" i="1"/>
  <c r="AG721" i="1"/>
  <c r="AG722" i="1"/>
  <c r="AG723" i="1"/>
  <c r="AG724" i="1"/>
  <c r="AG725" i="1"/>
  <c r="AG726" i="1"/>
  <c r="AG727" i="1"/>
  <c r="AG728" i="1"/>
  <c r="AG729" i="1"/>
  <c r="AG730" i="1"/>
  <c r="AG731" i="1"/>
  <c r="AG732" i="1"/>
  <c r="AG733" i="1"/>
  <c r="AG734" i="1"/>
  <c r="AG735" i="1"/>
  <c r="AG736" i="1"/>
  <c r="AG737" i="1"/>
  <c r="AG738" i="1"/>
  <c r="AG739" i="1"/>
  <c r="AG740" i="1"/>
  <c r="AG741" i="1"/>
  <c r="AF2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48" i="1"/>
  <c r="AF249" i="1"/>
  <c r="AF250" i="1"/>
  <c r="AF251" i="1"/>
  <c r="AF252" i="1"/>
  <c r="AF253" i="1"/>
  <c r="AF254" i="1"/>
  <c r="AF255" i="1"/>
  <c r="AF256" i="1"/>
  <c r="AF25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84" i="1"/>
  <c r="Q109" i="1"/>
  <c r="P109" i="1"/>
  <c r="N109" i="1"/>
  <c r="G109" i="1" s="1"/>
  <c r="M109" i="1"/>
  <c r="H109" i="1" s="1"/>
  <c r="L109" i="1"/>
  <c r="I109" i="1" s="1"/>
  <c r="K109" i="1"/>
  <c r="J109" i="1" s="1"/>
  <c r="Q108" i="1"/>
  <c r="P108" i="1"/>
  <c r="Q107" i="1"/>
  <c r="P107" i="1"/>
  <c r="N107" i="1"/>
  <c r="G107" i="1" s="1"/>
  <c r="M107" i="1"/>
  <c r="H107" i="1" s="1"/>
  <c r="L107" i="1"/>
  <c r="I107" i="1" s="1"/>
  <c r="K107" i="1"/>
  <c r="J107" i="1" s="1"/>
  <c r="Q106" i="1"/>
  <c r="P106" i="1"/>
  <c r="Q105" i="1"/>
  <c r="P105" i="1"/>
  <c r="N105" i="1"/>
  <c r="G105" i="1" s="1"/>
  <c r="M105" i="1"/>
  <c r="H105" i="1" s="1"/>
  <c r="L105" i="1"/>
  <c r="I105" i="1" s="1"/>
  <c r="K105" i="1"/>
  <c r="J105" i="1" s="1"/>
  <c r="D105" i="1"/>
  <c r="Q104" i="1"/>
  <c r="P104" i="1"/>
  <c r="N104" i="1"/>
  <c r="G104" i="1" s="1"/>
  <c r="M104" i="1"/>
  <c r="H104" i="1" s="1"/>
  <c r="L104" i="1"/>
  <c r="I104" i="1" s="1"/>
  <c r="K104" i="1"/>
  <c r="J104" i="1" s="1"/>
  <c r="D104" i="1"/>
  <c r="Q103" i="1"/>
  <c r="P103" i="1"/>
  <c r="D103" i="1"/>
  <c r="Q102" i="1"/>
  <c r="P102" i="1"/>
  <c r="D102" i="1"/>
  <c r="Q101" i="1"/>
  <c r="P101" i="1"/>
  <c r="N101" i="1"/>
  <c r="G101" i="1" s="1"/>
  <c r="M101" i="1"/>
  <c r="H101" i="1" s="1"/>
  <c r="L101" i="1"/>
  <c r="I101" i="1" s="1"/>
  <c r="K101" i="1"/>
  <c r="J101" i="1" s="1"/>
  <c r="D101" i="1"/>
  <c r="Q100" i="1"/>
  <c r="P100" i="1"/>
  <c r="N100" i="1"/>
  <c r="G100" i="1" s="1"/>
  <c r="M100" i="1"/>
  <c r="H100" i="1" s="1"/>
  <c r="L100" i="1"/>
  <c r="I100" i="1" s="1"/>
  <c r="K100" i="1"/>
  <c r="J100" i="1" s="1"/>
  <c r="D100" i="1"/>
  <c r="Q99" i="1"/>
  <c r="P99" i="1"/>
  <c r="D99" i="1"/>
  <c r="Q98" i="1"/>
  <c r="P98" i="1"/>
  <c r="D98" i="1"/>
  <c r="Q97" i="1"/>
  <c r="P97" i="1"/>
  <c r="N97" i="1"/>
  <c r="G97" i="1" s="1"/>
  <c r="M97" i="1"/>
  <c r="H97" i="1" s="1"/>
  <c r="L97" i="1"/>
  <c r="I97" i="1" s="1"/>
  <c r="K97" i="1"/>
  <c r="J97" i="1" s="1"/>
  <c r="D97" i="1"/>
  <c r="Q96" i="1"/>
  <c r="P96" i="1"/>
  <c r="N96" i="1"/>
  <c r="G96" i="1" s="1"/>
  <c r="M96" i="1"/>
  <c r="H96" i="1" s="1"/>
  <c r="L96" i="1"/>
  <c r="I96" i="1" s="1"/>
  <c r="K96" i="1"/>
  <c r="J96" i="1" s="1"/>
  <c r="D96" i="1"/>
  <c r="Q95" i="1"/>
  <c r="P95" i="1"/>
  <c r="D95" i="1"/>
  <c r="Q94" i="1"/>
  <c r="P94" i="1"/>
  <c r="D94" i="1"/>
  <c r="Q93" i="1"/>
  <c r="P93" i="1"/>
  <c r="N93" i="1"/>
  <c r="G93" i="1" s="1"/>
  <c r="M93" i="1"/>
  <c r="H93" i="1" s="1"/>
  <c r="L93" i="1"/>
  <c r="I93" i="1" s="1"/>
  <c r="K93" i="1"/>
  <c r="J93" i="1" s="1"/>
  <c r="D93" i="1"/>
  <c r="Q92" i="1"/>
  <c r="P92" i="1"/>
  <c r="N92" i="1"/>
  <c r="G92" i="1" s="1"/>
  <c r="M92" i="1"/>
  <c r="H92" i="1" s="1"/>
  <c r="L92" i="1"/>
  <c r="I92" i="1" s="1"/>
  <c r="K92" i="1"/>
  <c r="J92" i="1" s="1"/>
  <c r="D92" i="1"/>
  <c r="Q91" i="1"/>
  <c r="P91" i="1"/>
  <c r="D91" i="1"/>
  <c r="Q90" i="1"/>
  <c r="P90" i="1"/>
  <c r="D90" i="1"/>
  <c r="Q89" i="1"/>
  <c r="P89" i="1"/>
  <c r="N89" i="1"/>
  <c r="G89" i="1" s="1"/>
  <c r="M89" i="1"/>
  <c r="H89" i="1" s="1"/>
  <c r="L89" i="1"/>
  <c r="I89" i="1" s="1"/>
  <c r="K89" i="1"/>
  <c r="J89" i="1" s="1"/>
  <c r="D89" i="1"/>
  <c r="Q88" i="1"/>
  <c r="P88" i="1"/>
  <c r="N88" i="1"/>
  <c r="G88" i="1" s="1"/>
  <c r="M88" i="1"/>
  <c r="H88" i="1" s="1"/>
  <c r="L88" i="1"/>
  <c r="I88" i="1" s="1"/>
  <c r="K88" i="1"/>
  <c r="J88" i="1" s="1"/>
  <c r="D88" i="1"/>
  <c r="Q87" i="1"/>
  <c r="P87" i="1"/>
  <c r="D87" i="1"/>
  <c r="Q86" i="1"/>
  <c r="P86" i="1"/>
  <c r="D86" i="1"/>
  <c r="Q85" i="1"/>
  <c r="P85" i="1"/>
  <c r="N85" i="1"/>
  <c r="G85" i="1" s="1"/>
  <c r="M85" i="1"/>
  <c r="H85" i="1" s="1"/>
  <c r="L85" i="1"/>
  <c r="I85" i="1" s="1"/>
  <c r="K85" i="1"/>
  <c r="J85" i="1" s="1"/>
  <c r="D85" i="1"/>
  <c r="Q84" i="1"/>
  <c r="P84" i="1"/>
  <c r="P82" i="1"/>
  <c r="Q82" i="1"/>
  <c r="AJ82" i="1"/>
  <c r="K83" i="1"/>
  <c r="J83" i="1" s="1"/>
  <c r="L83" i="1"/>
  <c r="I83" i="1" s="1"/>
  <c r="M83" i="1"/>
  <c r="H83" i="1" s="1"/>
  <c r="N83" i="1"/>
  <c r="G83" i="1" s="1"/>
  <c r="P83" i="1"/>
  <c r="Q83" i="1"/>
  <c r="AJ83" i="1"/>
  <c r="AJ2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48" i="1"/>
  <c r="AJ249" i="1"/>
  <c r="AJ250" i="1"/>
  <c r="AJ251" i="1"/>
  <c r="AJ252" i="1"/>
  <c r="AJ253" i="1"/>
  <c r="AJ254" i="1"/>
  <c r="AJ255" i="1"/>
  <c r="AJ256" i="1"/>
  <c r="AJ25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P80" i="1" l="1"/>
  <c r="Q80" i="1"/>
  <c r="K81" i="1"/>
  <c r="J81" i="1" s="1"/>
  <c r="L81" i="1"/>
  <c r="I81" i="1" s="1"/>
  <c r="M81" i="1"/>
  <c r="H81" i="1" s="1"/>
  <c r="N81" i="1"/>
  <c r="G81" i="1" s="1"/>
  <c r="P81" i="1"/>
  <c r="Q81" i="1"/>
  <c r="Q76" i="1"/>
  <c r="Q57" i="1"/>
  <c r="P57" i="1"/>
  <c r="N57" i="1"/>
  <c r="G57" i="1" s="1"/>
  <c r="M57" i="1"/>
  <c r="H57" i="1" s="1"/>
  <c r="L57" i="1"/>
  <c r="I57" i="1" s="1"/>
  <c r="K57" i="1"/>
  <c r="J57" i="1" s="1"/>
  <c r="D57" i="1"/>
  <c r="Q56" i="1"/>
  <c r="P56" i="1"/>
  <c r="N56" i="1"/>
  <c r="G56" i="1" s="1"/>
  <c r="M56" i="1"/>
  <c r="H56" i="1" s="1"/>
  <c r="L56" i="1"/>
  <c r="I56" i="1" s="1"/>
  <c r="K56" i="1"/>
  <c r="J56" i="1" s="1"/>
  <c r="D56" i="1"/>
  <c r="Q55" i="1"/>
  <c r="P55" i="1"/>
  <c r="N55" i="1"/>
  <c r="G55" i="1" s="1"/>
  <c r="M55" i="1"/>
  <c r="H55" i="1" s="1"/>
  <c r="L55" i="1"/>
  <c r="I55" i="1" s="1"/>
  <c r="K55" i="1"/>
  <c r="J55" i="1" s="1"/>
  <c r="D55" i="1"/>
  <c r="Q54" i="1"/>
  <c r="P54" i="1"/>
  <c r="D54" i="1"/>
  <c r="Q53" i="1"/>
  <c r="P53" i="1"/>
  <c r="D53" i="1"/>
  <c r="Q52" i="1"/>
  <c r="P52" i="1"/>
  <c r="D52" i="1"/>
  <c r="Q51" i="1"/>
  <c r="P51" i="1"/>
  <c r="N51" i="1"/>
  <c r="G51" i="1" s="1"/>
  <c r="M51" i="1"/>
  <c r="H51" i="1" s="1"/>
  <c r="L51" i="1"/>
  <c r="I51" i="1" s="1"/>
  <c r="K51" i="1"/>
  <c r="J51" i="1" s="1"/>
  <c r="D51" i="1"/>
  <c r="Q50" i="1"/>
  <c r="P50" i="1"/>
  <c r="N50" i="1"/>
  <c r="G50" i="1" s="1"/>
  <c r="M50" i="1"/>
  <c r="H50" i="1" s="1"/>
  <c r="L50" i="1"/>
  <c r="I50" i="1" s="1"/>
  <c r="K50" i="1"/>
  <c r="J50" i="1" s="1"/>
  <c r="D50" i="1"/>
  <c r="Q49" i="1"/>
  <c r="P49" i="1"/>
  <c r="N49" i="1"/>
  <c r="G49" i="1" s="1"/>
  <c r="M49" i="1"/>
  <c r="H49" i="1" s="1"/>
  <c r="L49" i="1"/>
  <c r="I49" i="1" s="1"/>
  <c r="K49" i="1"/>
  <c r="J49" i="1" s="1"/>
  <c r="D49" i="1"/>
  <c r="Q48" i="1"/>
  <c r="P48" i="1"/>
  <c r="D48" i="1"/>
  <c r="Q47" i="1"/>
  <c r="P47" i="1"/>
  <c r="D47" i="1"/>
  <c r="Q46" i="1"/>
  <c r="P46" i="1"/>
  <c r="D46" i="1"/>
  <c r="Q45" i="1"/>
  <c r="P45" i="1"/>
  <c r="N45" i="1"/>
  <c r="G45" i="1" s="1"/>
  <c r="M45" i="1"/>
  <c r="H45" i="1" s="1"/>
  <c r="L45" i="1"/>
  <c r="I45" i="1" s="1"/>
  <c r="K45" i="1"/>
  <c r="J45" i="1" s="1"/>
  <c r="D45" i="1"/>
  <c r="Q44" i="1"/>
  <c r="P44" i="1"/>
  <c r="N44" i="1"/>
  <c r="G44" i="1" s="1"/>
  <c r="M44" i="1"/>
  <c r="H44" i="1" s="1"/>
  <c r="L44" i="1"/>
  <c r="I44" i="1" s="1"/>
  <c r="K44" i="1"/>
  <c r="J44" i="1" s="1"/>
  <c r="D44" i="1"/>
  <c r="Q43" i="1"/>
  <c r="P43" i="1"/>
  <c r="N43" i="1"/>
  <c r="G43" i="1" s="1"/>
  <c r="M43" i="1"/>
  <c r="H43" i="1" s="1"/>
  <c r="L43" i="1"/>
  <c r="I43" i="1" s="1"/>
  <c r="K43" i="1"/>
  <c r="J43" i="1" s="1"/>
  <c r="D43" i="1"/>
  <c r="Q42" i="1"/>
  <c r="P42" i="1"/>
  <c r="D42" i="1"/>
  <c r="Q41" i="1"/>
  <c r="P41" i="1"/>
  <c r="D41" i="1"/>
  <c r="Q40" i="1"/>
  <c r="P40" i="1"/>
  <c r="D40" i="1"/>
  <c r="Q39" i="1"/>
  <c r="P39" i="1"/>
  <c r="N39" i="1"/>
  <c r="G39" i="1" s="1"/>
  <c r="M39" i="1"/>
  <c r="H39" i="1" s="1"/>
  <c r="L39" i="1"/>
  <c r="I39" i="1" s="1"/>
  <c r="K39" i="1"/>
  <c r="J39" i="1" s="1"/>
  <c r="D39" i="1"/>
  <c r="Q38" i="1"/>
  <c r="P38" i="1"/>
  <c r="N38" i="1"/>
  <c r="G38" i="1" s="1"/>
  <c r="M38" i="1"/>
  <c r="H38" i="1" s="1"/>
  <c r="L38" i="1"/>
  <c r="I38" i="1" s="1"/>
  <c r="K38" i="1"/>
  <c r="J38" i="1" s="1"/>
  <c r="D38" i="1"/>
  <c r="Q37" i="1"/>
  <c r="P37" i="1"/>
  <c r="N37" i="1"/>
  <c r="G37" i="1" s="1"/>
  <c r="M37" i="1"/>
  <c r="H37" i="1" s="1"/>
  <c r="L37" i="1"/>
  <c r="I37" i="1" s="1"/>
  <c r="K37" i="1"/>
  <c r="J37" i="1" s="1"/>
  <c r="D37" i="1"/>
  <c r="Q36" i="1"/>
  <c r="P36" i="1"/>
  <c r="D36" i="1"/>
  <c r="Q35" i="1"/>
  <c r="P35" i="1"/>
  <c r="D35" i="1"/>
  <c r="Q34" i="1"/>
  <c r="P34" i="1"/>
  <c r="D34" i="1"/>
  <c r="Q33" i="1"/>
  <c r="P33" i="1"/>
  <c r="N33" i="1"/>
  <c r="G33" i="1" s="1"/>
  <c r="M33" i="1"/>
  <c r="H33" i="1" s="1"/>
  <c r="L33" i="1"/>
  <c r="I33" i="1" s="1"/>
  <c r="K33" i="1"/>
  <c r="J33" i="1" s="1"/>
  <c r="D33" i="1"/>
  <c r="Q32" i="1"/>
  <c r="P32" i="1"/>
  <c r="N32" i="1"/>
  <c r="G32" i="1" s="1"/>
  <c r="M32" i="1"/>
  <c r="H32" i="1" s="1"/>
  <c r="L32" i="1"/>
  <c r="I32" i="1" s="1"/>
  <c r="K32" i="1"/>
  <c r="J32" i="1" s="1"/>
  <c r="D32" i="1"/>
  <c r="Q31" i="1"/>
  <c r="P31" i="1"/>
  <c r="D31" i="1"/>
  <c r="Q30" i="1"/>
  <c r="P30" i="1"/>
  <c r="D30" i="1"/>
  <c r="D58" i="1"/>
  <c r="R30" i="3" l="1"/>
  <c r="R29" i="3"/>
  <c r="B28" i="7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5" i="2"/>
  <c r="A4" i="2"/>
  <c r="AK30" i="7" l="1"/>
  <c r="AQ30" i="7"/>
  <c r="V3" i="2"/>
  <c r="BI30" i="7" s="1"/>
  <c r="U3" i="2"/>
  <c r="BF30" i="7" s="1"/>
  <c r="T3" i="2"/>
  <c r="BC30" i="7" s="1"/>
  <c r="S3" i="2"/>
  <c r="AZ30" i="7" s="1"/>
  <c r="R3" i="2"/>
  <c r="AW30" i="7" s="1"/>
  <c r="Q3" i="2"/>
  <c r="AT30" i="7" s="1"/>
  <c r="O3" i="2"/>
  <c r="AN30" i="7" s="1"/>
  <c r="M3" i="2"/>
  <c r="AH30" i="7" s="1"/>
  <c r="C28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B35" i="7" l="1"/>
  <c r="D10" i="3" s="1"/>
  <c r="A31" i="7"/>
  <c r="B67" i="7"/>
  <c r="D42" i="3" s="1"/>
  <c r="B61" i="7"/>
  <c r="D36" i="3" s="1"/>
  <c r="B41" i="7"/>
  <c r="D16" i="3" s="1"/>
  <c r="B63" i="7"/>
  <c r="D38" i="3" s="1"/>
  <c r="A42" i="7"/>
  <c r="B17" i="3" s="1"/>
  <c r="A38" i="7"/>
  <c r="B13" i="3" s="1"/>
  <c r="B89" i="7"/>
  <c r="D64" i="3" s="1"/>
  <c r="B34" i="7"/>
  <c r="D9" i="3" s="1"/>
  <c r="A69" i="7"/>
  <c r="B44" i="3" s="1"/>
  <c r="B81" i="7"/>
  <c r="D56" i="3" s="1"/>
  <c r="B55" i="7"/>
  <c r="D30" i="3" s="1"/>
  <c r="A81" i="7"/>
  <c r="B56" i="3" s="1"/>
  <c r="B54" i="7"/>
  <c r="D29" i="3" s="1"/>
  <c r="B79" i="7"/>
  <c r="D54" i="3" s="1"/>
  <c r="B50" i="7"/>
  <c r="D25" i="3" s="1"/>
  <c r="A77" i="7"/>
  <c r="B52" i="3" s="1"/>
  <c r="A49" i="7"/>
  <c r="B24" i="3" s="1"/>
  <c r="B86" i="7"/>
  <c r="D61" i="3" s="1"/>
  <c r="B66" i="7"/>
  <c r="D41" i="3" s="1"/>
  <c r="B42" i="7"/>
  <c r="D17" i="3" s="1"/>
  <c r="A74" i="7"/>
  <c r="B49" i="3" s="1"/>
  <c r="A54" i="7"/>
  <c r="B29" i="3" s="1"/>
  <c r="B87" i="7"/>
  <c r="D62" i="3" s="1"/>
  <c r="B74" i="7"/>
  <c r="D49" i="3" s="1"/>
  <c r="A62" i="7"/>
  <c r="B37" i="3" s="1"/>
  <c r="B49" i="7"/>
  <c r="D24" i="3" s="1"/>
  <c r="A37" i="7"/>
  <c r="B12" i="3" s="1"/>
  <c r="A86" i="7"/>
  <c r="B61" i="3" s="1"/>
  <c r="B73" i="7"/>
  <c r="D48" i="3" s="1"/>
  <c r="A61" i="7"/>
  <c r="B36" i="3" s="1"/>
  <c r="B47" i="7"/>
  <c r="D22" i="3" s="1"/>
  <c r="A34" i="7"/>
  <c r="B9" i="3" s="1"/>
  <c r="B82" i="7"/>
  <c r="D57" i="3" s="1"/>
  <c r="A70" i="7"/>
  <c r="B45" i="3" s="1"/>
  <c r="B57" i="7"/>
  <c r="D32" i="3" s="1"/>
  <c r="A45" i="7"/>
  <c r="B20" i="3" s="1"/>
  <c r="A89" i="7"/>
  <c r="B64" i="3" s="1"/>
  <c r="A82" i="7"/>
  <c r="B57" i="3" s="1"/>
  <c r="B75" i="7"/>
  <c r="D50" i="3" s="1"/>
  <c r="B69" i="7"/>
  <c r="D44" i="3" s="1"/>
  <c r="B62" i="7"/>
  <c r="D37" i="3" s="1"/>
  <c r="A57" i="7"/>
  <c r="B32" i="3" s="1"/>
  <c r="A50" i="7"/>
  <c r="B25" i="3" s="1"/>
  <c r="B43" i="7"/>
  <c r="D18" i="3" s="1"/>
  <c r="B37" i="7"/>
  <c r="D12" i="3" s="1"/>
  <c r="B91" i="7"/>
  <c r="D66" i="3" s="1"/>
  <c r="B85" i="7"/>
  <c r="D60" i="3" s="1"/>
  <c r="B78" i="7"/>
  <c r="D53" i="3" s="1"/>
  <c r="A73" i="7"/>
  <c r="B48" i="3" s="1"/>
  <c r="A66" i="7"/>
  <c r="B41" i="3" s="1"/>
  <c r="B59" i="7"/>
  <c r="D34" i="3" s="1"/>
  <c r="B53" i="7"/>
  <c r="D28" i="3" s="1"/>
  <c r="B46" i="7"/>
  <c r="D21" i="3" s="1"/>
  <c r="A41" i="7"/>
  <c r="B16" i="3" s="1"/>
  <c r="B33" i="7"/>
  <c r="D8" i="3" s="1"/>
  <c r="B90" i="7"/>
  <c r="D65" i="3" s="1"/>
  <c r="A85" i="7"/>
  <c r="B60" i="3" s="1"/>
  <c r="A78" i="7"/>
  <c r="B53" i="3" s="1"/>
  <c r="B71" i="7"/>
  <c r="D46" i="3" s="1"/>
  <c r="B65" i="7"/>
  <c r="D40" i="3" s="1"/>
  <c r="B58" i="7"/>
  <c r="D33" i="3" s="1"/>
  <c r="A53" i="7"/>
  <c r="B28" i="3" s="1"/>
  <c r="A46" i="7"/>
  <c r="B21" i="3" s="1"/>
  <c r="B39" i="7"/>
  <c r="D14" i="3" s="1"/>
  <c r="A33" i="7"/>
  <c r="B8" i="3" s="1"/>
  <c r="A90" i="7"/>
  <c r="B65" i="3" s="1"/>
  <c r="B83" i="7"/>
  <c r="D58" i="3" s="1"/>
  <c r="B77" i="7"/>
  <c r="D52" i="3" s="1"/>
  <c r="B70" i="7"/>
  <c r="D45" i="3" s="1"/>
  <c r="A65" i="7"/>
  <c r="B40" i="3" s="1"/>
  <c r="A58" i="7"/>
  <c r="B33" i="3" s="1"/>
  <c r="B51" i="7"/>
  <c r="D26" i="3" s="1"/>
  <c r="B45" i="7"/>
  <c r="D20" i="3" s="1"/>
  <c r="B38" i="7"/>
  <c r="D13" i="3" s="1"/>
  <c r="A91" i="7"/>
  <c r="B66" i="3" s="1"/>
  <c r="A87" i="7"/>
  <c r="B62" i="3" s="1"/>
  <c r="A83" i="7"/>
  <c r="B58" i="3" s="1"/>
  <c r="A79" i="7"/>
  <c r="B54" i="3" s="1"/>
  <c r="A75" i="7"/>
  <c r="B50" i="3" s="1"/>
  <c r="A71" i="7"/>
  <c r="B46" i="3" s="1"/>
  <c r="A67" i="7"/>
  <c r="B42" i="3" s="1"/>
  <c r="A63" i="7"/>
  <c r="B38" i="3" s="1"/>
  <c r="A59" i="7"/>
  <c r="B34" i="3" s="1"/>
  <c r="A55" i="7"/>
  <c r="B30" i="3" s="1"/>
  <c r="A51" i="7"/>
  <c r="B26" i="3" s="1"/>
  <c r="A47" i="7"/>
  <c r="B22" i="3" s="1"/>
  <c r="A43" i="7"/>
  <c r="B18" i="3" s="1"/>
  <c r="A39" i="7"/>
  <c r="B14" i="3" s="1"/>
  <c r="A35" i="7"/>
  <c r="B10" i="3" s="1"/>
  <c r="B88" i="7"/>
  <c r="D63" i="3" s="1"/>
  <c r="B84" i="7"/>
  <c r="D59" i="3" s="1"/>
  <c r="B80" i="7"/>
  <c r="D55" i="3" s="1"/>
  <c r="B76" i="7"/>
  <c r="D51" i="3" s="1"/>
  <c r="B72" i="7"/>
  <c r="D47" i="3" s="1"/>
  <c r="B68" i="7"/>
  <c r="D43" i="3" s="1"/>
  <c r="B64" i="7"/>
  <c r="D39" i="3" s="1"/>
  <c r="B60" i="7"/>
  <c r="D35" i="3" s="1"/>
  <c r="B56" i="7"/>
  <c r="D31" i="3" s="1"/>
  <c r="B52" i="7"/>
  <c r="D27" i="3" s="1"/>
  <c r="B48" i="7"/>
  <c r="D23" i="3" s="1"/>
  <c r="B44" i="7"/>
  <c r="D19" i="3" s="1"/>
  <c r="B40" i="7"/>
  <c r="D15" i="3" s="1"/>
  <c r="B36" i="7"/>
  <c r="D11" i="3" s="1"/>
  <c r="B32" i="7"/>
  <c r="D7" i="3" s="1"/>
  <c r="A88" i="7"/>
  <c r="B63" i="3" s="1"/>
  <c r="A84" i="7"/>
  <c r="B59" i="3" s="1"/>
  <c r="A80" i="7"/>
  <c r="B55" i="3" s="1"/>
  <c r="A76" i="7"/>
  <c r="B51" i="3" s="1"/>
  <c r="A72" i="7"/>
  <c r="B47" i="3" s="1"/>
  <c r="A68" i="7"/>
  <c r="B43" i="3" s="1"/>
  <c r="A64" i="7"/>
  <c r="B39" i="3" s="1"/>
  <c r="A60" i="7"/>
  <c r="B35" i="3" s="1"/>
  <c r="A56" i="7"/>
  <c r="B31" i="3" s="1"/>
  <c r="A52" i="7"/>
  <c r="B27" i="3" s="1"/>
  <c r="A48" i="7"/>
  <c r="B23" i="3" s="1"/>
  <c r="A44" i="7"/>
  <c r="B19" i="3" s="1"/>
  <c r="A40" i="7"/>
  <c r="B15" i="3" s="1"/>
  <c r="A36" i="7"/>
  <c r="B11" i="3" s="1"/>
  <c r="A32" i="7"/>
  <c r="B7" i="3" s="1"/>
  <c r="B31" i="7"/>
  <c r="D6" i="3" s="1"/>
  <c r="D68" i="3" l="1"/>
  <c r="A84" i="2"/>
  <c r="A151" i="2" l="1"/>
  <c r="A177" i="2" l="1"/>
  <c r="G15" i="8" s="1"/>
  <c r="A176" i="2"/>
  <c r="G14" i="8" s="1"/>
  <c r="A175" i="2"/>
  <c r="G13" i="8" s="1"/>
  <c r="A174" i="2"/>
  <c r="G12" i="8" s="1"/>
  <c r="A173" i="2"/>
  <c r="G11" i="8" s="1"/>
  <c r="A172" i="2"/>
  <c r="G10" i="8" s="1"/>
  <c r="A171" i="2"/>
  <c r="G9" i="8" s="1"/>
  <c r="A170" i="2"/>
  <c r="G8" i="8" s="1"/>
  <c r="A169" i="2"/>
  <c r="G7" i="8" s="1"/>
  <c r="A168" i="2"/>
  <c r="G6" i="8" s="1"/>
  <c r="A167" i="2"/>
  <c r="G5" i="8" s="1"/>
  <c r="A166" i="2"/>
  <c r="G4" i="8" s="1"/>
  <c r="A165" i="2"/>
  <c r="G3" i="8" s="1"/>
  <c r="A164" i="2"/>
  <c r="G2" i="8" s="1"/>
  <c r="A155" i="2"/>
  <c r="D39" i="4" s="1"/>
  <c r="A154" i="2"/>
  <c r="AI8" i="4" s="1"/>
  <c r="A153" i="2"/>
  <c r="AE8" i="4" s="1"/>
  <c r="A152" i="2"/>
  <c r="X8" i="4" s="1"/>
  <c r="A150" i="2"/>
  <c r="A149" i="2"/>
  <c r="AT165" i="1" l="1"/>
  <c r="AT162" i="1"/>
  <c r="AT159" i="1"/>
  <c r="AT164" i="1"/>
  <c r="AT163" i="1"/>
  <c r="AT161" i="1"/>
  <c r="AT158" i="1"/>
  <c r="AT160" i="1"/>
  <c r="AS165" i="1"/>
  <c r="AS161" i="1"/>
  <c r="AS164" i="1"/>
  <c r="AS160" i="1"/>
  <c r="AT117" i="1"/>
  <c r="AT115" i="1"/>
  <c r="AT116" i="1"/>
  <c r="AT114" i="1"/>
  <c r="AS116" i="1"/>
  <c r="AS117" i="1"/>
  <c r="AT113" i="1"/>
  <c r="AT112" i="1"/>
  <c r="AS112" i="1"/>
  <c r="AS113" i="1"/>
  <c r="AT110" i="1"/>
  <c r="AT111" i="1"/>
  <c r="AT205" i="1"/>
  <c r="AT202" i="1"/>
  <c r="AT199" i="1"/>
  <c r="AT197" i="1"/>
  <c r="AT194" i="1"/>
  <c r="AT191" i="1"/>
  <c r="AT189" i="1"/>
  <c r="AT186" i="1"/>
  <c r="AT183" i="1"/>
  <c r="AT181" i="1"/>
  <c r="AT178" i="1"/>
  <c r="AT204" i="1"/>
  <c r="AT196" i="1"/>
  <c r="AT188" i="1"/>
  <c r="AT190" i="1"/>
  <c r="AT187" i="1"/>
  <c r="AT179" i="1"/>
  <c r="AT175" i="1"/>
  <c r="AT173" i="1"/>
  <c r="AT170" i="1"/>
  <c r="AT167" i="1"/>
  <c r="AT203" i="1"/>
  <c r="AT192" i="1"/>
  <c r="AT172" i="1"/>
  <c r="AT193" i="1"/>
  <c r="AT184" i="1"/>
  <c r="AT166" i="1"/>
  <c r="AT195" i="1"/>
  <c r="AT180" i="1"/>
  <c r="AT174" i="1"/>
  <c r="AT171" i="1"/>
  <c r="AT200" i="1"/>
  <c r="AT182" i="1"/>
  <c r="AT169" i="1"/>
  <c r="AT185" i="1"/>
  <c r="AT198" i="1"/>
  <c r="AT177" i="1"/>
  <c r="AT176" i="1"/>
  <c r="AT168" i="1"/>
  <c r="AT201" i="1"/>
  <c r="AS205" i="1"/>
  <c r="AS197" i="1"/>
  <c r="AS189" i="1"/>
  <c r="AS200" i="1"/>
  <c r="AS192" i="1"/>
  <c r="AS184" i="1"/>
  <c r="AS201" i="1"/>
  <c r="AS176" i="1"/>
  <c r="AS168" i="1"/>
  <c r="AS188" i="1"/>
  <c r="AS204" i="1"/>
  <c r="AS180" i="1"/>
  <c r="AS177" i="1"/>
  <c r="AS193" i="1"/>
  <c r="AS181" i="1"/>
  <c r="AS172" i="1"/>
  <c r="AS196" i="1"/>
  <c r="AS173" i="1"/>
  <c r="AS185" i="1"/>
  <c r="AS169" i="1"/>
  <c r="AT109" i="1"/>
  <c r="AT106" i="1"/>
  <c r="AT103" i="1"/>
  <c r="AT93" i="1"/>
  <c r="AT90" i="1"/>
  <c r="AT87" i="1"/>
  <c r="AT100" i="1"/>
  <c r="AT84" i="1"/>
  <c r="AT97" i="1"/>
  <c r="AT94" i="1"/>
  <c r="AT91" i="1"/>
  <c r="AT105" i="1"/>
  <c r="AT102" i="1"/>
  <c r="AT99" i="1"/>
  <c r="AT89" i="1"/>
  <c r="AT86" i="1"/>
  <c r="AT96" i="1"/>
  <c r="AT92" i="1"/>
  <c r="AT85" i="1"/>
  <c r="AT95" i="1"/>
  <c r="AT104" i="1"/>
  <c r="AT98" i="1"/>
  <c r="AT107" i="1"/>
  <c r="AT101" i="1"/>
  <c r="AT88" i="1"/>
  <c r="AT108" i="1"/>
  <c r="AS83" i="1"/>
  <c r="AS96" i="1"/>
  <c r="AS109" i="1"/>
  <c r="AS93" i="1"/>
  <c r="AS100" i="1"/>
  <c r="AS92" i="1"/>
  <c r="AS89" i="1"/>
  <c r="AS105" i="1"/>
  <c r="AS85" i="1"/>
  <c r="AS104" i="1"/>
  <c r="AS107" i="1"/>
  <c r="AS101" i="1"/>
  <c r="AS88" i="1"/>
  <c r="AS97" i="1"/>
  <c r="AT83" i="1"/>
  <c r="AT82" i="1"/>
  <c r="AT80" i="1"/>
  <c r="AT81" i="1"/>
  <c r="AS59" i="1"/>
  <c r="AS81" i="1"/>
  <c r="AT58" i="1"/>
  <c r="AT132" i="1"/>
  <c r="AT147" i="1"/>
  <c r="AT135" i="1"/>
  <c r="AT127" i="1"/>
  <c r="AT119" i="1"/>
  <c r="AT73" i="1"/>
  <c r="AT65" i="1"/>
  <c r="AT154" i="1"/>
  <c r="AT150" i="1"/>
  <c r="AT146" i="1"/>
  <c r="AT142" i="1"/>
  <c r="AT138" i="1"/>
  <c r="AT134" i="1"/>
  <c r="AT130" i="1"/>
  <c r="AT126" i="1"/>
  <c r="AT122" i="1"/>
  <c r="AT118" i="1"/>
  <c r="AT76" i="1"/>
  <c r="AT72" i="1"/>
  <c r="AT68" i="1"/>
  <c r="AT64" i="1"/>
  <c r="AT60" i="1"/>
  <c r="AT157" i="1"/>
  <c r="AT153" i="1"/>
  <c r="AT149" i="1"/>
  <c r="AT145" i="1"/>
  <c r="AT141" i="1"/>
  <c r="AT137" i="1"/>
  <c r="AT133" i="1"/>
  <c r="AT129" i="1"/>
  <c r="AT125" i="1"/>
  <c r="AT121" i="1"/>
  <c r="AT79" i="1"/>
  <c r="AT75" i="1"/>
  <c r="AT71" i="1"/>
  <c r="AT67" i="1"/>
  <c r="AT63" i="1"/>
  <c r="AT59" i="1"/>
  <c r="AT156" i="1"/>
  <c r="AT152" i="1"/>
  <c r="AT148" i="1"/>
  <c r="AT144" i="1"/>
  <c r="AT140" i="1"/>
  <c r="AT136" i="1"/>
  <c r="AT128" i="1"/>
  <c r="AT124" i="1"/>
  <c r="AT120" i="1"/>
  <c r="AT78" i="1"/>
  <c r="AT74" i="1"/>
  <c r="AT70" i="1"/>
  <c r="AT66" i="1"/>
  <c r="AT62" i="1"/>
  <c r="AT155" i="1"/>
  <c r="AT151" i="1"/>
  <c r="AT143" i="1"/>
  <c r="AT139" i="1"/>
  <c r="AT131" i="1"/>
  <c r="AT123" i="1"/>
  <c r="AT77" i="1"/>
  <c r="AT69" i="1"/>
  <c r="AT61" i="1"/>
  <c r="AS157" i="1"/>
  <c r="AS156" i="1"/>
  <c r="AS153" i="1"/>
  <c r="AS152" i="1"/>
  <c r="AS149" i="1"/>
  <c r="AS148" i="1"/>
  <c r="AS145" i="1"/>
  <c r="AS144" i="1"/>
  <c r="AS141" i="1"/>
  <c r="AS140" i="1"/>
  <c r="AS137" i="1"/>
  <c r="AS136" i="1"/>
  <c r="AS133" i="1"/>
  <c r="AS132" i="1"/>
  <c r="AS129" i="1"/>
  <c r="AS128" i="1"/>
  <c r="AS125" i="1"/>
  <c r="AS124" i="1"/>
  <c r="AS121" i="1"/>
  <c r="AS120" i="1"/>
  <c r="AS79" i="1"/>
  <c r="AS78" i="1"/>
  <c r="AS75" i="1"/>
  <c r="AS74" i="1"/>
  <c r="AS71" i="1"/>
  <c r="AS70" i="1"/>
  <c r="AS67" i="1"/>
  <c r="AS66" i="1"/>
  <c r="AS63" i="1"/>
  <c r="AS62" i="1"/>
  <c r="L11" i="3"/>
  <c r="K11" i="3"/>
  <c r="A119" i="2"/>
  <c r="Q17" i="1"/>
  <c r="P17" i="1"/>
  <c r="L62" i="1"/>
  <c r="K59" i="1"/>
  <c r="A98" i="2"/>
  <c r="A100" i="2"/>
  <c r="Q75" i="3" s="1"/>
  <c r="P3" i="5" s="1"/>
  <c r="A99" i="2"/>
  <c r="A97" i="2"/>
  <c r="AS162" i="1" l="1"/>
  <c r="AS159" i="1"/>
  <c r="AS163" i="1"/>
  <c r="AS158" i="1"/>
  <c r="AS115" i="1"/>
  <c r="AS114" i="1"/>
  <c r="AS110" i="1"/>
  <c r="AS111" i="1"/>
  <c r="AS202" i="1"/>
  <c r="AS199" i="1"/>
  <c r="AS194" i="1"/>
  <c r="AS191" i="1"/>
  <c r="AS186" i="1"/>
  <c r="AS182" i="1"/>
  <c r="AS198" i="1"/>
  <c r="AS195" i="1"/>
  <c r="AS175" i="1"/>
  <c r="AS166" i="1"/>
  <c r="AS174" i="1"/>
  <c r="AS171" i="1"/>
  <c r="AS170" i="1"/>
  <c r="AS203" i="1"/>
  <c r="AS190" i="1"/>
  <c r="AS178" i="1"/>
  <c r="AS167" i="1"/>
  <c r="AS187" i="1"/>
  <c r="AS183" i="1"/>
  <c r="AS179" i="1"/>
  <c r="AM108" i="1"/>
  <c r="AM102" i="1"/>
  <c r="AM105" i="1"/>
  <c r="AM109" i="1"/>
  <c r="AM107" i="1"/>
  <c r="AM106" i="1"/>
  <c r="AM104" i="1"/>
  <c r="AM103" i="1"/>
  <c r="AS106" i="1"/>
  <c r="AS103" i="1"/>
  <c r="AS90" i="1"/>
  <c r="AS87" i="1"/>
  <c r="AS84" i="1"/>
  <c r="AS108" i="1"/>
  <c r="AS86" i="1"/>
  <c r="AS95" i="1"/>
  <c r="AS94" i="1"/>
  <c r="AS91" i="1"/>
  <c r="AS98" i="1"/>
  <c r="AS102" i="1"/>
  <c r="AS99" i="1"/>
  <c r="AS80" i="1"/>
  <c r="AS82" i="1"/>
  <c r="AM83" i="1"/>
  <c r="AM82" i="1"/>
  <c r="AM81" i="1"/>
  <c r="AM80" i="1"/>
  <c r="AS77" i="1"/>
  <c r="AS58" i="1"/>
  <c r="AS73" i="1"/>
  <c r="AS76" i="1"/>
  <c r="AS69" i="1"/>
  <c r="AS72" i="1"/>
  <c r="AS65" i="1"/>
  <c r="AS68" i="1"/>
  <c r="AS61" i="1"/>
  <c r="AS64" i="1"/>
  <c r="AS60" i="1"/>
  <c r="AS154" i="1"/>
  <c r="AS155" i="1"/>
  <c r="AS150" i="1"/>
  <c r="AS151" i="1"/>
  <c r="AS146" i="1"/>
  <c r="AS147" i="1"/>
  <c r="AS142" i="1"/>
  <c r="AS143" i="1"/>
  <c r="AS138" i="1"/>
  <c r="AS139" i="1"/>
  <c r="AS134" i="1"/>
  <c r="AS135" i="1"/>
  <c r="AS126" i="1"/>
  <c r="AS127" i="1"/>
  <c r="AS122" i="1"/>
  <c r="AS123" i="1"/>
  <c r="AS118" i="1"/>
  <c r="AS119" i="1"/>
  <c r="AS130" i="1"/>
  <c r="AS131" i="1"/>
  <c r="P75" i="3"/>
  <c r="O3" i="5" s="1"/>
  <c r="P3" i="6"/>
  <c r="P117" i="3"/>
  <c r="Q117" i="3"/>
  <c r="D692" i="1"/>
  <c r="D693" i="1"/>
  <c r="D694" i="1"/>
  <c r="D695" i="1"/>
  <c r="D696" i="1"/>
  <c r="D697" i="1"/>
  <c r="P692" i="1"/>
  <c r="Q692" i="1"/>
  <c r="P693" i="1"/>
  <c r="Q693" i="1"/>
  <c r="P694" i="1"/>
  <c r="Q694" i="1"/>
  <c r="K695" i="1"/>
  <c r="J695" i="1" s="1"/>
  <c r="L695" i="1"/>
  <c r="I695" i="1" s="1"/>
  <c r="M695" i="1"/>
  <c r="H695" i="1" s="1"/>
  <c r="N695" i="1"/>
  <c r="G695" i="1" s="1"/>
  <c r="P695" i="1"/>
  <c r="Q695" i="1"/>
  <c r="K696" i="1"/>
  <c r="J696" i="1" s="1"/>
  <c r="L696" i="1"/>
  <c r="I696" i="1" s="1"/>
  <c r="M696" i="1"/>
  <c r="H696" i="1" s="1"/>
  <c r="N696" i="1"/>
  <c r="G696" i="1" s="1"/>
  <c r="P696" i="1"/>
  <c r="Q696" i="1"/>
  <c r="K697" i="1"/>
  <c r="J697" i="1" s="1"/>
  <c r="L697" i="1"/>
  <c r="I697" i="1" s="1"/>
  <c r="M697" i="1"/>
  <c r="H697" i="1" s="1"/>
  <c r="N697" i="1"/>
  <c r="G697" i="1" s="1"/>
  <c r="P697" i="1"/>
  <c r="Q697" i="1"/>
  <c r="O3" i="6" l="1"/>
  <c r="A101" i="2"/>
  <c r="A102" i="2"/>
  <c r="A103" i="2"/>
  <c r="BA13" i="4" l="1"/>
  <c r="AQ11" i="4"/>
  <c r="AQ9" i="4"/>
  <c r="A38" i="2"/>
  <c r="A39" i="2"/>
  <c r="A40" i="2"/>
  <c r="A41" i="2"/>
  <c r="C1" i="2" l="1"/>
  <c r="A1" i="3" s="1"/>
  <c r="A91" i="2"/>
  <c r="A89" i="2"/>
  <c r="X9" i="4" s="1"/>
  <c r="A104" i="2"/>
  <c r="A57" i="2"/>
  <c r="A54" i="2"/>
  <c r="A51" i="2"/>
  <c r="A48" i="2"/>
  <c r="A45" i="2"/>
  <c r="A42" i="2"/>
  <c r="A30" i="2"/>
  <c r="A34" i="2"/>
  <c r="A26" i="2"/>
  <c r="D14" i="4" l="1"/>
  <c r="P18" i="3"/>
  <c r="A105" i="2"/>
  <c r="A1" i="5" s="1"/>
  <c r="A96" i="2"/>
  <c r="N75" i="3" s="1"/>
  <c r="M3" i="6" s="1"/>
  <c r="A95" i="2"/>
  <c r="A94" i="2"/>
  <c r="A93" i="2"/>
  <c r="A92" i="2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67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1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374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1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68" i="1"/>
  <c r="D249" i="1"/>
  <c r="D250" i="1"/>
  <c r="D251" i="1"/>
  <c r="D252" i="1"/>
  <c r="D253" i="1"/>
  <c r="D254" i="1"/>
  <c r="D255" i="1"/>
  <c r="D256" i="1"/>
  <c r="D257" i="1"/>
  <c r="D248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06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1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2" i="1"/>
  <c r="K436" i="1"/>
  <c r="J436" i="1" s="1"/>
  <c r="L436" i="1"/>
  <c r="I436" i="1" s="1"/>
  <c r="M436" i="1"/>
  <c r="H436" i="1" s="1"/>
  <c r="N436" i="1"/>
  <c r="G436" i="1" s="1"/>
  <c r="K437" i="1"/>
  <c r="J437" i="1" s="1"/>
  <c r="L437" i="1"/>
  <c r="I437" i="1" s="1"/>
  <c r="M437" i="1"/>
  <c r="H437" i="1" s="1"/>
  <c r="N437" i="1"/>
  <c r="G437" i="1" s="1"/>
  <c r="K438" i="1"/>
  <c r="J438" i="1" s="1"/>
  <c r="L438" i="1"/>
  <c r="I438" i="1" s="1"/>
  <c r="M438" i="1"/>
  <c r="H438" i="1" s="1"/>
  <c r="N438" i="1"/>
  <c r="G438" i="1" s="1"/>
  <c r="K439" i="1"/>
  <c r="J439" i="1" s="1"/>
  <c r="L439" i="1"/>
  <c r="I439" i="1" s="1"/>
  <c r="M439" i="1"/>
  <c r="H439" i="1" s="1"/>
  <c r="N439" i="1"/>
  <c r="G439" i="1" s="1"/>
  <c r="K440" i="1"/>
  <c r="J440" i="1" s="1"/>
  <c r="L440" i="1"/>
  <c r="I440" i="1" s="1"/>
  <c r="M440" i="1"/>
  <c r="H440" i="1" s="1"/>
  <c r="N440" i="1"/>
  <c r="G440" i="1" s="1"/>
  <c r="K441" i="1"/>
  <c r="J441" i="1" s="1"/>
  <c r="L441" i="1"/>
  <c r="I441" i="1" s="1"/>
  <c r="M441" i="1"/>
  <c r="H441" i="1" s="1"/>
  <c r="N441" i="1"/>
  <c r="G441" i="1" s="1"/>
  <c r="K442" i="1"/>
  <c r="J442" i="1" s="1"/>
  <c r="L442" i="1"/>
  <c r="I442" i="1" s="1"/>
  <c r="M442" i="1"/>
  <c r="H442" i="1" s="1"/>
  <c r="N442" i="1"/>
  <c r="G442" i="1" s="1"/>
  <c r="K443" i="1"/>
  <c r="J443" i="1" s="1"/>
  <c r="L443" i="1"/>
  <c r="I443" i="1" s="1"/>
  <c r="M443" i="1"/>
  <c r="H443" i="1" s="1"/>
  <c r="N443" i="1"/>
  <c r="G443" i="1" s="1"/>
  <c r="K517" i="1"/>
  <c r="J517" i="1" s="1"/>
  <c r="L517" i="1"/>
  <c r="I517" i="1" s="1"/>
  <c r="M517" i="1"/>
  <c r="H517" i="1" s="1"/>
  <c r="N517" i="1"/>
  <c r="G517" i="1" s="1"/>
  <c r="K518" i="1"/>
  <c r="J518" i="1" s="1"/>
  <c r="L518" i="1"/>
  <c r="I518" i="1" s="1"/>
  <c r="M518" i="1"/>
  <c r="H518" i="1" s="1"/>
  <c r="N518" i="1"/>
  <c r="G518" i="1" s="1"/>
  <c r="K519" i="1"/>
  <c r="J519" i="1" s="1"/>
  <c r="L519" i="1"/>
  <c r="I519" i="1" s="1"/>
  <c r="M519" i="1"/>
  <c r="H519" i="1" s="1"/>
  <c r="N519" i="1"/>
  <c r="G519" i="1" s="1"/>
  <c r="K520" i="1"/>
  <c r="J520" i="1" s="1"/>
  <c r="L520" i="1"/>
  <c r="I520" i="1" s="1"/>
  <c r="M520" i="1"/>
  <c r="H520" i="1" s="1"/>
  <c r="N520" i="1"/>
  <c r="G520" i="1" s="1"/>
  <c r="K521" i="1"/>
  <c r="J521" i="1" s="1"/>
  <c r="L521" i="1"/>
  <c r="I521" i="1" s="1"/>
  <c r="M521" i="1"/>
  <c r="H521" i="1" s="1"/>
  <c r="N521" i="1"/>
  <c r="G521" i="1" s="1"/>
  <c r="K522" i="1"/>
  <c r="J522" i="1" s="1"/>
  <c r="L522" i="1"/>
  <c r="I522" i="1" s="1"/>
  <c r="M522" i="1"/>
  <c r="H522" i="1" s="1"/>
  <c r="N522" i="1"/>
  <c r="G522" i="1" s="1"/>
  <c r="K523" i="1"/>
  <c r="J523" i="1" s="1"/>
  <c r="L523" i="1"/>
  <c r="I523" i="1" s="1"/>
  <c r="M523" i="1"/>
  <c r="H523" i="1" s="1"/>
  <c r="N523" i="1"/>
  <c r="G523" i="1" s="1"/>
  <c r="K524" i="1"/>
  <c r="J524" i="1" s="1"/>
  <c r="L524" i="1"/>
  <c r="I524" i="1" s="1"/>
  <c r="M524" i="1"/>
  <c r="H524" i="1" s="1"/>
  <c r="N524" i="1"/>
  <c r="G524" i="1" s="1"/>
  <c r="K525" i="1"/>
  <c r="J525" i="1" s="1"/>
  <c r="L525" i="1"/>
  <c r="I525" i="1" s="1"/>
  <c r="M525" i="1"/>
  <c r="H525" i="1" s="1"/>
  <c r="N525" i="1"/>
  <c r="G525" i="1" s="1"/>
  <c r="K526" i="1"/>
  <c r="J526" i="1" s="1"/>
  <c r="L526" i="1"/>
  <c r="I526" i="1" s="1"/>
  <c r="M526" i="1"/>
  <c r="H526" i="1" s="1"/>
  <c r="N526" i="1"/>
  <c r="G526" i="1" s="1"/>
  <c r="K527" i="1"/>
  <c r="J527" i="1" s="1"/>
  <c r="L527" i="1"/>
  <c r="I527" i="1" s="1"/>
  <c r="M527" i="1"/>
  <c r="H527" i="1" s="1"/>
  <c r="N527" i="1"/>
  <c r="G527" i="1" s="1"/>
  <c r="K528" i="1"/>
  <c r="J528" i="1" s="1"/>
  <c r="L528" i="1"/>
  <c r="I528" i="1" s="1"/>
  <c r="M528" i="1"/>
  <c r="H528" i="1" s="1"/>
  <c r="N528" i="1"/>
  <c r="G528" i="1" s="1"/>
  <c r="K532" i="1"/>
  <c r="J532" i="1" s="1"/>
  <c r="L532" i="1"/>
  <c r="I532" i="1" s="1"/>
  <c r="M532" i="1"/>
  <c r="H532" i="1" s="1"/>
  <c r="N532" i="1"/>
  <c r="G532" i="1" s="1"/>
  <c r="K533" i="1"/>
  <c r="J533" i="1" s="1"/>
  <c r="L533" i="1"/>
  <c r="I533" i="1" s="1"/>
  <c r="M533" i="1"/>
  <c r="H533" i="1" s="1"/>
  <c r="N533" i="1"/>
  <c r="G533" i="1" s="1"/>
  <c r="K534" i="1"/>
  <c r="J534" i="1" s="1"/>
  <c r="L534" i="1"/>
  <c r="I534" i="1" s="1"/>
  <c r="M534" i="1"/>
  <c r="H534" i="1" s="1"/>
  <c r="N534" i="1"/>
  <c r="G534" i="1" s="1"/>
  <c r="K535" i="1"/>
  <c r="J535" i="1" s="1"/>
  <c r="L535" i="1"/>
  <c r="I535" i="1" s="1"/>
  <c r="M535" i="1"/>
  <c r="H535" i="1" s="1"/>
  <c r="N535" i="1"/>
  <c r="G535" i="1" s="1"/>
  <c r="K536" i="1"/>
  <c r="J536" i="1" s="1"/>
  <c r="L536" i="1"/>
  <c r="I536" i="1" s="1"/>
  <c r="M536" i="1"/>
  <c r="H536" i="1" s="1"/>
  <c r="N536" i="1"/>
  <c r="G536" i="1" s="1"/>
  <c r="K537" i="1"/>
  <c r="J537" i="1" s="1"/>
  <c r="L537" i="1"/>
  <c r="I537" i="1" s="1"/>
  <c r="M537" i="1"/>
  <c r="H537" i="1" s="1"/>
  <c r="N537" i="1"/>
  <c r="G537" i="1" s="1"/>
  <c r="K538" i="1"/>
  <c r="J538" i="1" s="1"/>
  <c r="L538" i="1"/>
  <c r="I538" i="1" s="1"/>
  <c r="M538" i="1"/>
  <c r="H538" i="1" s="1"/>
  <c r="N538" i="1"/>
  <c r="G538" i="1" s="1"/>
  <c r="K539" i="1"/>
  <c r="J539" i="1" s="1"/>
  <c r="L539" i="1"/>
  <c r="I539" i="1" s="1"/>
  <c r="M539" i="1"/>
  <c r="H539" i="1" s="1"/>
  <c r="N539" i="1"/>
  <c r="G539" i="1" s="1"/>
  <c r="K540" i="1"/>
  <c r="J540" i="1" s="1"/>
  <c r="L540" i="1"/>
  <c r="I540" i="1" s="1"/>
  <c r="M540" i="1"/>
  <c r="H540" i="1" s="1"/>
  <c r="N540" i="1"/>
  <c r="G540" i="1" s="1"/>
  <c r="K541" i="1"/>
  <c r="J541" i="1" s="1"/>
  <c r="L541" i="1"/>
  <c r="I541" i="1" s="1"/>
  <c r="M541" i="1"/>
  <c r="H541" i="1" s="1"/>
  <c r="N541" i="1"/>
  <c r="G541" i="1" s="1"/>
  <c r="K542" i="1"/>
  <c r="J542" i="1" s="1"/>
  <c r="L542" i="1"/>
  <c r="I542" i="1" s="1"/>
  <c r="M542" i="1"/>
  <c r="H542" i="1" s="1"/>
  <c r="N542" i="1"/>
  <c r="G542" i="1" s="1"/>
  <c r="K543" i="1"/>
  <c r="J543" i="1" s="1"/>
  <c r="L543" i="1"/>
  <c r="I543" i="1" s="1"/>
  <c r="M543" i="1"/>
  <c r="H543" i="1" s="1"/>
  <c r="N543" i="1"/>
  <c r="G543" i="1" s="1"/>
  <c r="K546" i="1"/>
  <c r="J546" i="1" s="1"/>
  <c r="L546" i="1"/>
  <c r="I546" i="1" s="1"/>
  <c r="M546" i="1"/>
  <c r="H546" i="1" s="1"/>
  <c r="N546" i="1"/>
  <c r="G546" i="1" s="1"/>
  <c r="K547" i="1"/>
  <c r="J547" i="1" s="1"/>
  <c r="L547" i="1"/>
  <c r="I547" i="1" s="1"/>
  <c r="M547" i="1"/>
  <c r="H547" i="1" s="1"/>
  <c r="N547" i="1"/>
  <c r="G547" i="1" s="1"/>
  <c r="K548" i="1"/>
  <c r="J548" i="1" s="1"/>
  <c r="L548" i="1"/>
  <c r="I548" i="1" s="1"/>
  <c r="M548" i="1"/>
  <c r="H548" i="1" s="1"/>
  <c r="N548" i="1"/>
  <c r="G548" i="1" s="1"/>
  <c r="K549" i="1"/>
  <c r="J549" i="1" s="1"/>
  <c r="L549" i="1"/>
  <c r="I549" i="1" s="1"/>
  <c r="M549" i="1"/>
  <c r="H549" i="1" s="1"/>
  <c r="N549" i="1"/>
  <c r="G549" i="1" s="1"/>
  <c r="K550" i="1"/>
  <c r="J550" i="1" s="1"/>
  <c r="L550" i="1"/>
  <c r="I550" i="1" s="1"/>
  <c r="M550" i="1"/>
  <c r="H550" i="1" s="1"/>
  <c r="N550" i="1"/>
  <c r="G550" i="1" s="1"/>
  <c r="K551" i="1"/>
  <c r="J551" i="1" s="1"/>
  <c r="L551" i="1"/>
  <c r="I551" i="1" s="1"/>
  <c r="M551" i="1"/>
  <c r="H551" i="1" s="1"/>
  <c r="N551" i="1"/>
  <c r="G551" i="1" s="1"/>
  <c r="K552" i="1"/>
  <c r="J552" i="1" s="1"/>
  <c r="L552" i="1"/>
  <c r="I552" i="1" s="1"/>
  <c r="M552" i="1"/>
  <c r="H552" i="1" s="1"/>
  <c r="N552" i="1"/>
  <c r="G552" i="1" s="1"/>
  <c r="K553" i="1"/>
  <c r="J553" i="1" s="1"/>
  <c r="L553" i="1"/>
  <c r="I553" i="1" s="1"/>
  <c r="M553" i="1"/>
  <c r="H553" i="1" s="1"/>
  <c r="N553" i="1"/>
  <c r="G553" i="1" s="1"/>
  <c r="K556" i="1"/>
  <c r="J556" i="1" s="1"/>
  <c r="L556" i="1"/>
  <c r="I556" i="1" s="1"/>
  <c r="M556" i="1"/>
  <c r="H556" i="1" s="1"/>
  <c r="N556" i="1"/>
  <c r="G556" i="1" s="1"/>
  <c r="K557" i="1"/>
  <c r="J557" i="1" s="1"/>
  <c r="L557" i="1"/>
  <c r="I557" i="1" s="1"/>
  <c r="M557" i="1"/>
  <c r="H557" i="1" s="1"/>
  <c r="N557" i="1"/>
  <c r="G557" i="1" s="1"/>
  <c r="K558" i="1"/>
  <c r="J558" i="1" s="1"/>
  <c r="L558" i="1"/>
  <c r="I558" i="1" s="1"/>
  <c r="M558" i="1"/>
  <c r="H558" i="1" s="1"/>
  <c r="N558" i="1"/>
  <c r="G558" i="1" s="1"/>
  <c r="K559" i="1"/>
  <c r="J559" i="1" s="1"/>
  <c r="L559" i="1"/>
  <c r="I559" i="1" s="1"/>
  <c r="M559" i="1"/>
  <c r="H559" i="1" s="1"/>
  <c r="N559" i="1"/>
  <c r="G559" i="1" s="1"/>
  <c r="K560" i="1"/>
  <c r="J560" i="1" s="1"/>
  <c r="L560" i="1"/>
  <c r="I560" i="1" s="1"/>
  <c r="M560" i="1"/>
  <c r="H560" i="1" s="1"/>
  <c r="N560" i="1"/>
  <c r="G560" i="1" s="1"/>
  <c r="K561" i="1"/>
  <c r="J561" i="1" s="1"/>
  <c r="L561" i="1"/>
  <c r="I561" i="1" s="1"/>
  <c r="M561" i="1"/>
  <c r="H561" i="1" s="1"/>
  <c r="N561" i="1"/>
  <c r="G561" i="1" s="1"/>
  <c r="K562" i="1"/>
  <c r="J562" i="1" s="1"/>
  <c r="L562" i="1"/>
  <c r="I562" i="1" s="1"/>
  <c r="M562" i="1"/>
  <c r="H562" i="1" s="1"/>
  <c r="N562" i="1"/>
  <c r="G562" i="1" s="1"/>
  <c r="K563" i="1"/>
  <c r="J563" i="1" s="1"/>
  <c r="L563" i="1"/>
  <c r="I563" i="1" s="1"/>
  <c r="M563" i="1"/>
  <c r="H563" i="1" s="1"/>
  <c r="N563" i="1"/>
  <c r="G563" i="1" s="1"/>
  <c r="K566" i="1"/>
  <c r="J566" i="1" s="1"/>
  <c r="L566" i="1"/>
  <c r="I566" i="1" s="1"/>
  <c r="M566" i="1"/>
  <c r="H566" i="1" s="1"/>
  <c r="N566" i="1"/>
  <c r="G566" i="1" s="1"/>
  <c r="K567" i="1"/>
  <c r="J567" i="1" s="1"/>
  <c r="L567" i="1"/>
  <c r="I567" i="1" s="1"/>
  <c r="M567" i="1"/>
  <c r="H567" i="1" s="1"/>
  <c r="N567" i="1"/>
  <c r="G567" i="1" s="1"/>
  <c r="K568" i="1"/>
  <c r="J568" i="1" s="1"/>
  <c r="L568" i="1"/>
  <c r="I568" i="1" s="1"/>
  <c r="M568" i="1"/>
  <c r="H568" i="1" s="1"/>
  <c r="N568" i="1"/>
  <c r="G568" i="1" s="1"/>
  <c r="K569" i="1"/>
  <c r="J569" i="1" s="1"/>
  <c r="L569" i="1"/>
  <c r="I569" i="1" s="1"/>
  <c r="M569" i="1"/>
  <c r="H569" i="1" s="1"/>
  <c r="N569" i="1"/>
  <c r="G569" i="1" s="1"/>
  <c r="K570" i="1"/>
  <c r="J570" i="1" s="1"/>
  <c r="L570" i="1"/>
  <c r="I570" i="1" s="1"/>
  <c r="M570" i="1"/>
  <c r="H570" i="1" s="1"/>
  <c r="N570" i="1"/>
  <c r="G570" i="1" s="1"/>
  <c r="K571" i="1"/>
  <c r="J571" i="1" s="1"/>
  <c r="L571" i="1"/>
  <c r="I571" i="1" s="1"/>
  <c r="M571" i="1"/>
  <c r="H571" i="1" s="1"/>
  <c r="N571" i="1"/>
  <c r="G571" i="1" s="1"/>
  <c r="K572" i="1"/>
  <c r="J572" i="1" s="1"/>
  <c r="L572" i="1"/>
  <c r="I572" i="1" s="1"/>
  <c r="M572" i="1"/>
  <c r="H572" i="1" s="1"/>
  <c r="N572" i="1"/>
  <c r="G572" i="1" s="1"/>
  <c r="K573" i="1"/>
  <c r="J573" i="1" s="1"/>
  <c r="L573" i="1"/>
  <c r="I573" i="1" s="1"/>
  <c r="M573" i="1"/>
  <c r="H573" i="1" s="1"/>
  <c r="N573" i="1"/>
  <c r="G573" i="1" s="1"/>
  <c r="K576" i="1"/>
  <c r="J576" i="1" s="1"/>
  <c r="L576" i="1"/>
  <c r="I576" i="1" s="1"/>
  <c r="M576" i="1"/>
  <c r="H576" i="1" s="1"/>
  <c r="N576" i="1"/>
  <c r="G576" i="1" s="1"/>
  <c r="K577" i="1"/>
  <c r="J577" i="1" s="1"/>
  <c r="L577" i="1"/>
  <c r="I577" i="1" s="1"/>
  <c r="M577" i="1"/>
  <c r="H577" i="1" s="1"/>
  <c r="N577" i="1"/>
  <c r="G577" i="1" s="1"/>
  <c r="K578" i="1"/>
  <c r="J578" i="1" s="1"/>
  <c r="L578" i="1"/>
  <c r="I578" i="1" s="1"/>
  <c r="M578" i="1"/>
  <c r="H578" i="1" s="1"/>
  <c r="N578" i="1"/>
  <c r="G578" i="1" s="1"/>
  <c r="K579" i="1"/>
  <c r="J579" i="1" s="1"/>
  <c r="L579" i="1"/>
  <c r="I579" i="1" s="1"/>
  <c r="M579" i="1"/>
  <c r="H579" i="1" s="1"/>
  <c r="N579" i="1"/>
  <c r="G579" i="1" s="1"/>
  <c r="K580" i="1"/>
  <c r="J580" i="1" s="1"/>
  <c r="L580" i="1"/>
  <c r="I580" i="1" s="1"/>
  <c r="M580" i="1"/>
  <c r="H580" i="1" s="1"/>
  <c r="N580" i="1"/>
  <c r="G580" i="1" s="1"/>
  <c r="K581" i="1"/>
  <c r="J581" i="1" s="1"/>
  <c r="L581" i="1"/>
  <c r="I581" i="1" s="1"/>
  <c r="M581" i="1"/>
  <c r="H581" i="1" s="1"/>
  <c r="N581" i="1"/>
  <c r="G581" i="1" s="1"/>
  <c r="K582" i="1"/>
  <c r="J582" i="1" s="1"/>
  <c r="L582" i="1"/>
  <c r="I582" i="1" s="1"/>
  <c r="M582" i="1"/>
  <c r="H582" i="1" s="1"/>
  <c r="N582" i="1"/>
  <c r="G582" i="1" s="1"/>
  <c r="K583" i="1"/>
  <c r="J583" i="1" s="1"/>
  <c r="L583" i="1"/>
  <c r="I583" i="1" s="1"/>
  <c r="M583" i="1"/>
  <c r="H583" i="1" s="1"/>
  <c r="N583" i="1"/>
  <c r="G583" i="1" s="1"/>
  <c r="K585" i="1"/>
  <c r="J585" i="1" s="1"/>
  <c r="L585" i="1"/>
  <c r="I585" i="1" s="1"/>
  <c r="M585" i="1"/>
  <c r="H585" i="1" s="1"/>
  <c r="N585" i="1"/>
  <c r="G585" i="1" s="1"/>
  <c r="K586" i="1"/>
  <c r="J586" i="1" s="1"/>
  <c r="L586" i="1"/>
  <c r="I586" i="1" s="1"/>
  <c r="M586" i="1"/>
  <c r="H586" i="1" s="1"/>
  <c r="N586" i="1"/>
  <c r="G586" i="1" s="1"/>
  <c r="K587" i="1"/>
  <c r="J587" i="1" s="1"/>
  <c r="L587" i="1"/>
  <c r="I587" i="1" s="1"/>
  <c r="M587" i="1"/>
  <c r="H587" i="1" s="1"/>
  <c r="N587" i="1"/>
  <c r="G587" i="1" s="1"/>
  <c r="K588" i="1"/>
  <c r="J588" i="1" s="1"/>
  <c r="L588" i="1"/>
  <c r="I588" i="1" s="1"/>
  <c r="M588" i="1"/>
  <c r="H588" i="1" s="1"/>
  <c r="N588" i="1"/>
  <c r="G588" i="1" s="1"/>
  <c r="K590" i="1"/>
  <c r="J590" i="1" s="1"/>
  <c r="L590" i="1"/>
  <c r="I590" i="1" s="1"/>
  <c r="M590" i="1"/>
  <c r="H590" i="1" s="1"/>
  <c r="N590" i="1"/>
  <c r="G590" i="1" s="1"/>
  <c r="K591" i="1"/>
  <c r="J591" i="1" s="1"/>
  <c r="L591" i="1"/>
  <c r="I591" i="1" s="1"/>
  <c r="M591" i="1"/>
  <c r="H591" i="1" s="1"/>
  <c r="N591" i="1"/>
  <c r="G591" i="1" s="1"/>
  <c r="K592" i="1"/>
  <c r="J592" i="1" s="1"/>
  <c r="L592" i="1"/>
  <c r="I592" i="1" s="1"/>
  <c r="M592" i="1"/>
  <c r="H592" i="1" s="1"/>
  <c r="N592" i="1"/>
  <c r="G592" i="1" s="1"/>
  <c r="K593" i="1"/>
  <c r="J593" i="1" s="1"/>
  <c r="L593" i="1"/>
  <c r="I593" i="1" s="1"/>
  <c r="M593" i="1"/>
  <c r="H593" i="1" s="1"/>
  <c r="N593" i="1"/>
  <c r="G593" i="1" s="1"/>
  <c r="K676" i="1"/>
  <c r="J676" i="1" s="1"/>
  <c r="L676" i="1"/>
  <c r="I676" i="1" s="1"/>
  <c r="M676" i="1"/>
  <c r="H676" i="1" s="1"/>
  <c r="N676" i="1"/>
  <c r="G676" i="1" s="1"/>
  <c r="K677" i="1"/>
  <c r="J677" i="1" s="1"/>
  <c r="L677" i="1"/>
  <c r="I677" i="1" s="1"/>
  <c r="M677" i="1"/>
  <c r="H677" i="1" s="1"/>
  <c r="N677" i="1"/>
  <c r="G677" i="1" s="1"/>
  <c r="K680" i="1"/>
  <c r="J680" i="1" s="1"/>
  <c r="L680" i="1"/>
  <c r="I680" i="1" s="1"/>
  <c r="M680" i="1"/>
  <c r="H680" i="1" s="1"/>
  <c r="N680" i="1"/>
  <c r="G680" i="1" s="1"/>
  <c r="K681" i="1"/>
  <c r="J681" i="1" s="1"/>
  <c r="L681" i="1"/>
  <c r="I681" i="1" s="1"/>
  <c r="M681" i="1"/>
  <c r="H681" i="1" s="1"/>
  <c r="N681" i="1"/>
  <c r="G681" i="1" s="1"/>
  <c r="K684" i="1"/>
  <c r="J684" i="1" s="1"/>
  <c r="L684" i="1"/>
  <c r="I684" i="1" s="1"/>
  <c r="M684" i="1"/>
  <c r="H684" i="1" s="1"/>
  <c r="N684" i="1"/>
  <c r="G684" i="1" s="1"/>
  <c r="K685" i="1"/>
  <c r="J685" i="1" s="1"/>
  <c r="L685" i="1"/>
  <c r="I685" i="1" s="1"/>
  <c r="M685" i="1"/>
  <c r="H685" i="1" s="1"/>
  <c r="N685" i="1"/>
  <c r="G685" i="1" s="1"/>
  <c r="K689" i="1"/>
  <c r="J689" i="1" s="1"/>
  <c r="L689" i="1"/>
  <c r="I689" i="1" s="1"/>
  <c r="M689" i="1"/>
  <c r="H689" i="1" s="1"/>
  <c r="N689" i="1"/>
  <c r="G689" i="1" s="1"/>
  <c r="K690" i="1"/>
  <c r="J690" i="1" s="1"/>
  <c r="L690" i="1"/>
  <c r="I690" i="1" s="1"/>
  <c r="M690" i="1"/>
  <c r="H690" i="1" s="1"/>
  <c r="N690" i="1"/>
  <c r="G690" i="1" s="1"/>
  <c r="K691" i="1"/>
  <c r="J691" i="1" s="1"/>
  <c r="L691" i="1"/>
  <c r="I691" i="1" s="1"/>
  <c r="M691" i="1"/>
  <c r="H691" i="1" s="1"/>
  <c r="N691" i="1"/>
  <c r="G691" i="1" s="1"/>
  <c r="K702" i="1"/>
  <c r="J702" i="1" s="1"/>
  <c r="L702" i="1"/>
  <c r="I702" i="1" s="1"/>
  <c r="M702" i="1"/>
  <c r="H702" i="1" s="1"/>
  <c r="N702" i="1"/>
  <c r="G702" i="1" s="1"/>
  <c r="K703" i="1"/>
  <c r="J703" i="1" s="1"/>
  <c r="L703" i="1"/>
  <c r="I703" i="1" s="1"/>
  <c r="M703" i="1"/>
  <c r="H703" i="1" s="1"/>
  <c r="N703" i="1"/>
  <c r="G703" i="1" s="1"/>
  <c r="K704" i="1"/>
  <c r="J704" i="1" s="1"/>
  <c r="L704" i="1"/>
  <c r="I704" i="1" s="1"/>
  <c r="M704" i="1"/>
  <c r="H704" i="1" s="1"/>
  <c r="N704" i="1"/>
  <c r="G704" i="1" s="1"/>
  <c r="K705" i="1"/>
  <c r="J705" i="1" s="1"/>
  <c r="L705" i="1"/>
  <c r="I705" i="1" s="1"/>
  <c r="M705" i="1"/>
  <c r="H705" i="1" s="1"/>
  <c r="N705" i="1"/>
  <c r="G705" i="1" s="1"/>
  <c r="K710" i="1"/>
  <c r="J710" i="1" s="1"/>
  <c r="L710" i="1"/>
  <c r="I710" i="1" s="1"/>
  <c r="M710" i="1"/>
  <c r="H710" i="1" s="1"/>
  <c r="N710" i="1"/>
  <c r="G710" i="1" s="1"/>
  <c r="K711" i="1"/>
  <c r="J711" i="1" s="1"/>
  <c r="L711" i="1"/>
  <c r="I711" i="1" s="1"/>
  <c r="M711" i="1"/>
  <c r="H711" i="1" s="1"/>
  <c r="N711" i="1"/>
  <c r="G711" i="1" s="1"/>
  <c r="K712" i="1"/>
  <c r="J712" i="1" s="1"/>
  <c r="L712" i="1"/>
  <c r="I712" i="1" s="1"/>
  <c r="M712" i="1"/>
  <c r="H712" i="1" s="1"/>
  <c r="N712" i="1"/>
  <c r="G712" i="1" s="1"/>
  <c r="K713" i="1"/>
  <c r="J713" i="1" s="1"/>
  <c r="L713" i="1"/>
  <c r="I713" i="1" s="1"/>
  <c r="M713" i="1"/>
  <c r="H713" i="1" s="1"/>
  <c r="N713" i="1"/>
  <c r="G713" i="1" s="1"/>
  <c r="K717" i="1"/>
  <c r="J717" i="1" s="1"/>
  <c r="L717" i="1"/>
  <c r="I717" i="1" s="1"/>
  <c r="M717" i="1"/>
  <c r="H717" i="1" s="1"/>
  <c r="N717" i="1"/>
  <c r="G717" i="1" s="1"/>
  <c r="K718" i="1"/>
  <c r="J718" i="1" s="1"/>
  <c r="L718" i="1"/>
  <c r="I718" i="1" s="1"/>
  <c r="M718" i="1"/>
  <c r="H718" i="1" s="1"/>
  <c r="N718" i="1"/>
  <c r="G718" i="1" s="1"/>
  <c r="K719" i="1"/>
  <c r="J719" i="1" s="1"/>
  <c r="L719" i="1"/>
  <c r="I719" i="1" s="1"/>
  <c r="M719" i="1"/>
  <c r="H719" i="1" s="1"/>
  <c r="N719" i="1"/>
  <c r="G719" i="1" s="1"/>
  <c r="K724" i="1"/>
  <c r="J724" i="1" s="1"/>
  <c r="L724" i="1"/>
  <c r="I724" i="1" s="1"/>
  <c r="M724" i="1"/>
  <c r="H724" i="1" s="1"/>
  <c r="N724" i="1"/>
  <c r="G724" i="1" s="1"/>
  <c r="K725" i="1"/>
  <c r="J725" i="1" s="1"/>
  <c r="L725" i="1"/>
  <c r="I725" i="1" s="1"/>
  <c r="M725" i="1"/>
  <c r="H725" i="1" s="1"/>
  <c r="N725" i="1"/>
  <c r="G725" i="1" s="1"/>
  <c r="K726" i="1"/>
  <c r="J726" i="1" s="1"/>
  <c r="L726" i="1"/>
  <c r="I726" i="1" s="1"/>
  <c r="M726" i="1"/>
  <c r="H726" i="1" s="1"/>
  <c r="N726" i="1"/>
  <c r="G726" i="1" s="1"/>
  <c r="K727" i="1"/>
  <c r="J727" i="1" s="1"/>
  <c r="L727" i="1"/>
  <c r="I727" i="1" s="1"/>
  <c r="M727" i="1"/>
  <c r="H727" i="1" s="1"/>
  <c r="N727" i="1"/>
  <c r="G727" i="1" s="1"/>
  <c r="K732" i="1"/>
  <c r="J732" i="1" s="1"/>
  <c r="L732" i="1"/>
  <c r="I732" i="1" s="1"/>
  <c r="M732" i="1"/>
  <c r="H732" i="1" s="1"/>
  <c r="N732" i="1"/>
  <c r="G732" i="1" s="1"/>
  <c r="K733" i="1"/>
  <c r="J733" i="1" s="1"/>
  <c r="L733" i="1"/>
  <c r="I733" i="1" s="1"/>
  <c r="M733" i="1"/>
  <c r="H733" i="1" s="1"/>
  <c r="N733" i="1"/>
  <c r="G733" i="1" s="1"/>
  <c r="K734" i="1"/>
  <c r="J734" i="1" s="1"/>
  <c r="L734" i="1"/>
  <c r="I734" i="1" s="1"/>
  <c r="M734" i="1"/>
  <c r="H734" i="1" s="1"/>
  <c r="N734" i="1"/>
  <c r="G734" i="1" s="1"/>
  <c r="K735" i="1"/>
  <c r="J735" i="1" s="1"/>
  <c r="L735" i="1"/>
  <c r="I735" i="1" s="1"/>
  <c r="M735" i="1"/>
  <c r="H735" i="1" s="1"/>
  <c r="N735" i="1"/>
  <c r="G735" i="1" s="1"/>
  <c r="K739" i="1"/>
  <c r="J739" i="1" s="1"/>
  <c r="L739" i="1"/>
  <c r="I739" i="1" s="1"/>
  <c r="M739" i="1"/>
  <c r="H739" i="1" s="1"/>
  <c r="N739" i="1"/>
  <c r="G739" i="1" s="1"/>
  <c r="K740" i="1"/>
  <c r="J740" i="1" s="1"/>
  <c r="L740" i="1"/>
  <c r="I740" i="1" s="1"/>
  <c r="M740" i="1"/>
  <c r="H740" i="1" s="1"/>
  <c r="N740" i="1"/>
  <c r="G740" i="1" s="1"/>
  <c r="K741" i="1"/>
  <c r="J741" i="1" s="1"/>
  <c r="L741" i="1"/>
  <c r="I741" i="1" s="1"/>
  <c r="M741" i="1"/>
  <c r="H741" i="1" s="1"/>
  <c r="N741" i="1"/>
  <c r="G741" i="1" s="1"/>
  <c r="K428" i="1"/>
  <c r="J428" i="1" s="1"/>
  <c r="L428" i="1"/>
  <c r="I428" i="1" s="1"/>
  <c r="M428" i="1"/>
  <c r="H428" i="1" s="1"/>
  <c r="N428" i="1"/>
  <c r="G428" i="1" s="1"/>
  <c r="K429" i="1"/>
  <c r="J429" i="1" s="1"/>
  <c r="L429" i="1"/>
  <c r="I429" i="1" s="1"/>
  <c r="M429" i="1"/>
  <c r="H429" i="1" s="1"/>
  <c r="N429" i="1"/>
  <c r="G429" i="1" s="1"/>
  <c r="K430" i="1"/>
  <c r="J430" i="1" s="1"/>
  <c r="L430" i="1"/>
  <c r="I430" i="1" s="1"/>
  <c r="M430" i="1"/>
  <c r="H430" i="1" s="1"/>
  <c r="N430" i="1"/>
  <c r="G430" i="1" s="1"/>
  <c r="K431" i="1"/>
  <c r="J431" i="1" s="1"/>
  <c r="L431" i="1"/>
  <c r="I431" i="1" s="1"/>
  <c r="M431" i="1"/>
  <c r="H431" i="1" s="1"/>
  <c r="N431" i="1"/>
  <c r="G431" i="1" s="1"/>
  <c r="K432" i="1"/>
  <c r="J432" i="1" s="1"/>
  <c r="L432" i="1"/>
  <c r="I432" i="1" s="1"/>
  <c r="M432" i="1"/>
  <c r="H432" i="1" s="1"/>
  <c r="N432" i="1"/>
  <c r="G432" i="1" s="1"/>
  <c r="K433" i="1"/>
  <c r="J433" i="1" s="1"/>
  <c r="L433" i="1"/>
  <c r="I433" i="1" s="1"/>
  <c r="M433" i="1"/>
  <c r="H433" i="1" s="1"/>
  <c r="N433" i="1"/>
  <c r="G433" i="1" s="1"/>
  <c r="K128" i="1"/>
  <c r="J128" i="1" s="1"/>
  <c r="L128" i="1"/>
  <c r="I128" i="1" s="1"/>
  <c r="M128" i="1"/>
  <c r="H128" i="1" s="1"/>
  <c r="N128" i="1"/>
  <c r="G128" i="1" s="1"/>
  <c r="K129" i="1"/>
  <c r="J129" i="1" s="1"/>
  <c r="L129" i="1"/>
  <c r="I129" i="1" s="1"/>
  <c r="M129" i="1"/>
  <c r="H129" i="1" s="1"/>
  <c r="N129" i="1"/>
  <c r="G129" i="1" s="1"/>
  <c r="K132" i="1"/>
  <c r="J132" i="1" s="1"/>
  <c r="L132" i="1"/>
  <c r="I132" i="1" s="1"/>
  <c r="M132" i="1"/>
  <c r="H132" i="1" s="1"/>
  <c r="N132" i="1"/>
  <c r="G132" i="1" s="1"/>
  <c r="K133" i="1"/>
  <c r="J133" i="1" s="1"/>
  <c r="L133" i="1"/>
  <c r="I133" i="1" s="1"/>
  <c r="M133" i="1"/>
  <c r="H133" i="1" s="1"/>
  <c r="N133" i="1"/>
  <c r="G133" i="1" s="1"/>
  <c r="K136" i="1"/>
  <c r="J136" i="1" s="1"/>
  <c r="L136" i="1"/>
  <c r="I136" i="1" s="1"/>
  <c r="M136" i="1"/>
  <c r="H136" i="1" s="1"/>
  <c r="N136" i="1"/>
  <c r="G136" i="1" s="1"/>
  <c r="K137" i="1"/>
  <c r="J137" i="1" s="1"/>
  <c r="L137" i="1"/>
  <c r="I137" i="1" s="1"/>
  <c r="M137" i="1"/>
  <c r="H137" i="1" s="1"/>
  <c r="N137" i="1"/>
  <c r="G137" i="1" s="1"/>
  <c r="K140" i="1"/>
  <c r="J140" i="1" s="1"/>
  <c r="L140" i="1"/>
  <c r="I140" i="1" s="1"/>
  <c r="M140" i="1"/>
  <c r="H140" i="1" s="1"/>
  <c r="N140" i="1"/>
  <c r="G140" i="1" s="1"/>
  <c r="K141" i="1"/>
  <c r="J141" i="1" s="1"/>
  <c r="L141" i="1"/>
  <c r="I141" i="1" s="1"/>
  <c r="M141" i="1"/>
  <c r="H141" i="1" s="1"/>
  <c r="N141" i="1"/>
  <c r="G141" i="1" s="1"/>
  <c r="K144" i="1"/>
  <c r="J144" i="1" s="1"/>
  <c r="L144" i="1"/>
  <c r="I144" i="1" s="1"/>
  <c r="M144" i="1"/>
  <c r="H144" i="1" s="1"/>
  <c r="N144" i="1"/>
  <c r="G144" i="1" s="1"/>
  <c r="K145" i="1"/>
  <c r="J145" i="1" s="1"/>
  <c r="L145" i="1"/>
  <c r="I145" i="1" s="1"/>
  <c r="M145" i="1"/>
  <c r="H145" i="1" s="1"/>
  <c r="N145" i="1"/>
  <c r="G145" i="1" s="1"/>
  <c r="K148" i="1"/>
  <c r="J148" i="1" s="1"/>
  <c r="L148" i="1"/>
  <c r="I148" i="1" s="1"/>
  <c r="M148" i="1"/>
  <c r="H148" i="1" s="1"/>
  <c r="N148" i="1"/>
  <c r="G148" i="1" s="1"/>
  <c r="K149" i="1"/>
  <c r="J149" i="1" s="1"/>
  <c r="L149" i="1"/>
  <c r="I149" i="1" s="1"/>
  <c r="M149" i="1"/>
  <c r="H149" i="1" s="1"/>
  <c r="N149" i="1"/>
  <c r="G149" i="1" s="1"/>
  <c r="K152" i="1"/>
  <c r="J152" i="1" s="1"/>
  <c r="L152" i="1"/>
  <c r="I152" i="1" s="1"/>
  <c r="M152" i="1"/>
  <c r="H152" i="1" s="1"/>
  <c r="N152" i="1"/>
  <c r="G152" i="1" s="1"/>
  <c r="K153" i="1"/>
  <c r="J153" i="1" s="1"/>
  <c r="L153" i="1"/>
  <c r="I153" i="1" s="1"/>
  <c r="M153" i="1"/>
  <c r="H153" i="1" s="1"/>
  <c r="N153" i="1"/>
  <c r="G153" i="1" s="1"/>
  <c r="K156" i="1"/>
  <c r="J156" i="1" s="1"/>
  <c r="L156" i="1"/>
  <c r="I156" i="1" s="1"/>
  <c r="M156" i="1"/>
  <c r="H156" i="1" s="1"/>
  <c r="N156" i="1"/>
  <c r="G156" i="1" s="1"/>
  <c r="K157" i="1"/>
  <c r="J157" i="1" s="1"/>
  <c r="L157" i="1"/>
  <c r="I157" i="1" s="1"/>
  <c r="M157" i="1"/>
  <c r="H157" i="1" s="1"/>
  <c r="N157" i="1"/>
  <c r="G157" i="1" s="1"/>
  <c r="K207" i="1"/>
  <c r="J207" i="1" s="1"/>
  <c r="L207" i="1"/>
  <c r="I207" i="1" s="1"/>
  <c r="M207" i="1"/>
  <c r="H207" i="1" s="1"/>
  <c r="N207" i="1"/>
  <c r="G207" i="1" s="1"/>
  <c r="K208" i="1"/>
  <c r="J208" i="1" s="1"/>
  <c r="L208" i="1"/>
  <c r="I208" i="1" s="1"/>
  <c r="M208" i="1"/>
  <c r="H208" i="1" s="1"/>
  <c r="N208" i="1"/>
  <c r="G208" i="1" s="1"/>
  <c r="K210" i="1"/>
  <c r="J210" i="1" s="1"/>
  <c r="L210" i="1"/>
  <c r="I210" i="1" s="1"/>
  <c r="M210" i="1"/>
  <c r="H210" i="1" s="1"/>
  <c r="N210" i="1"/>
  <c r="G210" i="1" s="1"/>
  <c r="K211" i="1"/>
  <c r="J211" i="1" s="1"/>
  <c r="L211" i="1"/>
  <c r="I211" i="1" s="1"/>
  <c r="M211" i="1"/>
  <c r="H211" i="1" s="1"/>
  <c r="N211" i="1"/>
  <c r="G211" i="1" s="1"/>
  <c r="K213" i="1"/>
  <c r="J213" i="1" s="1"/>
  <c r="L213" i="1"/>
  <c r="I213" i="1" s="1"/>
  <c r="M213" i="1"/>
  <c r="H213" i="1" s="1"/>
  <c r="N213" i="1"/>
  <c r="G213" i="1" s="1"/>
  <c r="K214" i="1"/>
  <c r="J214" i="1" s="1"/>
  <c r="L214" i="1"/>
  <c r="I214" i="1" s="1"/>
  <c r="M214" i="1"/>
  <c r="H214" i="1" s="1"/>
  <c r="N214" i="1"/>
  <c r="G214" i="1" s="1"/>
  <c r="K216" i="1"/>
  <c r="J216" i="1" s="1"/>
  <c r="L216" i="1"/>
  <c r="I216" i="1" s="1"/>
  <c r="M216" i="1"/>
  <c r="H216" i="1" s="1"/>
  <c r="N216" i="1"/>
  <c r="G216" i="1" s="1"/>
  <c r="K217" i="1"/>
  <c r="J217" i="1" s="1"/>
  <c r="L217" i="1"/>
  <c r="I217" i="1" s="1"/>
  <c r="M217" i="1"/>
  <c r="H217" i="1" s="1"/>
  <c r="N217" i="1"/>
  <c r="G217" i="1" s="1"/>
  <c r="K219" i="1"/>
  <c r="J219" i="1" s="1"/>
  <c r="L219" i="1"/>
  <c r="I219" i="1" s="1"/>
  <c r="M219" i="1"/>
  <c r="H219" i="1" s="1"/>
  <c r="N219" i="1"/>
  <c r="G219" i="1" s="1"/>
  <c r="K220" i="1"/>
  <c r="J220" i="1" s="1"/>
  <c r="L220" i="1"/>
  <c r="I220" i="1" s="1"/>
  <c r="M220" i="1"/>
  <c r="H220" i="1" s="1"/>
  <c r="N220" i="1"/>
  <c r="G220" i="1" s="1"/>
  <c r="K222" i="1"/>
  <c r="J222" i="1" s="1"/>
  <c r="L222" i="1"/>
  <c r="I222" i="1" s="1"/>
  <c r="M222" i="1"/>
  <c r="H222" i="1" s="1"/>
  <c r="N222" i="1"/>
  <c r="G222" i="1" s="1"/>
  <c r="K223" i="1"/>
  <c r="J223" i="1" s="1"/>
  <c r="L223" i="1"/>
  <c r="I223" i="1" s="1"/>
  <c r="M223" i="1"/>
  <c r="H223" i="1" s="1"/>
  <c r="N223" i="1"/>
  <c r="G223" i="1" s="1"/>
  <c r="K225" i="1"/>
  <c r="J225" i="1" s="1"/>
  <c r="L225" i="1"/>
  <c r="I225" i="1" s="1"/>
  <c r="M225" i="1"/>
  <c r="H225" i="1" s="1"/>
  <c r="N225" i="1"/>
  <c r="G225" i="1" s="1"/>
  <c r="K226" i="1"/>
  <c r="J226" i="1" s="1"/>
  <c r="L226" i="1"/>
  <c r="I226" i="1" s="1"/>
  <c r="M226" i="1"/>
  <c r="H226" i="1" s="1"/>
  <c r="N226" i="1"/>
  <c r="G226" i="1" s="1"/>
  <c r="K249" i="1"/>
  <c r="J249" i="1" s="1"/>
  <c r="L249" i="1"/>
  <c r="I249" i="1" s="1"/>
  <c r="M249" i="1"/>
  <c r="H249" i="1" s="1"/>
  <c r="N249" i="1"/>
  <c r="G249" i="1" s="1"/>
  <c r="K251" i="1"/>
  <c r="J251" i="1" s="1"/>
  <c r="L251" i="1"/>
  <c r="I251" i="1" s="1"/>
  <c r="M251" i="1"/>
  <c r="H251" i="1" s="1"/>
  <c r="N251" i="1"/>
  <c r="G251" i="1" s="1"/>
  <c r="K253" i="1"/>
  <c r="J253" i="1" s="1"/>
  <c r="L253" i="1"/>
  <c r="I253" i="1" s="1"/>
  <c r="M253" i="1"/>
  <c r="H253" i="1" s="1"/>
  <c r="N253" i="1"/>
  <c r="G253" i="1" s="1"/>
  <c r="K255" i="1"/>
  <c r="J255" i="1" s="1"/>
  <c r="L255" i="1"/>
  <c r="I255" i="1" s="1"/>
  <c r="M255" i="1"/>
  <c r="H255" i="1" s="1"/>
  <c r="N255" i="1"/>
  <c r="G255" i="1" s="1"/>
  <c r="K257" i="1"/>
  <c r="J257" i="1" s="1"/>
  <c r="L257" i="1"/>
  <c r="I257" i="1" s="1"/>
  <c r="M257" i="1"/>
  <c r="H257" i="1" s="1"/>
  <c r="N257" i="1"/>
  <c r="G257" i="1" s="1"/>
  <c r="K269" i="1"/>
  <c r="J269" i="1" s="1"/>
  <c r="L269" i="1"/>
  <c r="I269" i="1" s="1"/>
  <c r="M269" i="1"/>
  <c r="H269" i="1" s="1"/>
  <c r="N269" i="1"/>
  <c r="G269" i="1" s="1"/>
  <c r="K270" i="1"/>
  <c r="J270" i="1" s="1"/>
  <c r="L270" i="1"/>
  <c r="I270" i="1" s="1"/>
  <c r="M270" i="1"/>
  <c r="H270" i="1" s="1"/>
  <c r="N270" i="1"/>
  <c r="G270" i="1" s="1"/>
  <c r="K271" i="1"/>
  <c r="J271" i="1" s="1"/>
  <c r="L271" i="1"/>
  <c r="I271" i="1" s="1"/>
  <c r="M271" i="1"/>
  <c r="H271" i="1" s="1"/>
  <c r="N271" i="1"/>
  <c r="G271" i="1" s="1"/>
  <c r="K272" i="1"/>
  <c r="J272" i="1" s="1"/>
  <c r="L272" i="1"/>
  <c r="I272" i="1" s="1"/>
  <c r="M272" i="1"/>
  <c r="H272" i="1" s="1"/>
  <c r="N272" i="1"/>
  <c r="G272" i="1" s="1"/>
  <c r="K274" i="1"/>
  <c r="J274" i="1" s="1"/>
  <c r="L274" i="1"/>
  <c r="I274" i="1" s="1"/>
  <c r="M274" i="1"/>
  <c r="H274" i="1" s="1"/>
  <c r="N274" i="1"/>
  <c r="G274" i="1" s="1"/>
  <c r="K275" i="1"/>
  <c r="J275" i="1" s="1"/>
  <c r="L275" i="1"/>
  <c r="I275" i="1" s="1"/>
  <c r="M275" i="1"/>
  <c r="H275" i="1" s="1"/>
  <c r="N275" i="1"/>
  <c r="G275" i="1" s="1"/>
  <c r="K276" i="1"/>
  <c r="J276" i="1" s="1"/>
  <c r="L276" i="1"/>
  <c r="I276" i="1" s="1"/>
  <c r="M276" i="1"/>
  <c r="H276" i="1" s="1"/>
  <c r="N276" i="1"/>
  <c r="G276" i="1" s="1"/>
  <c r="K277" i="1"/>
  <c r="J277" i="1" s="1"/>
  <c r="L277" i="1"/>
  <c r="I277" i="1" s="1"/>
  <c r="M277" i="1"/>
  <c r="H277" i="1" s="1"/>
  <c r="N277" i="1"/>
  <c r="G277" i="1" s="1"/>
  <c r="K279" i="1"/>
  <c r="J279" i="1" s="1"/>
  <c r="L279" i="1"/>
  <c r="I279" i="1" s="1"/>
  <c r="M279" i="1"/>
  <c r="H279" i="1" s="1"/>
  <c r="N279" i="1"/>
  <c r="G279" i="1" s="1"/>
  <c r="K280" i="1"/>
  <c r="J280" i="1" s="1"/>
  <c r="L280" i="1"/>
  <c r="I280" i="1" s="1"/>
  <c r="M280" i="1"/>
  <c r="H280" i="1" s="1"/>
  <c r="N280" i="1"/>
  <c r="G280" i="1" s="1"/>
  <c r="K281" i="1"/>
  <c r="J281" i="1" s="1"/>
  <c r="L281" i="1"/>
  <c r="I281" i="1" s="1"/>
  <c r="M281" i="1"/>
  <c r="H281" i="1" s="1"/>
  <c r="N281" i="1"/>
  <c r="G281" i="1" s="1"/>
  <c r="K282" i="1"/>
  <c r="J282" i="1" s="1"/>
  <c r="L282" i="1"/>
  <c r="I282" i="1" s="1"/>
  <c r="M282" i="1"/>
  <c r="H282" i="1" s="1"/>
  <c r="N282" i="1"/>
  <c r="G282" i="1" s="1"/>
  <c r="K284" i="1"/>
  <c r="J284" i="1" s="1"/>
  <c r="L284" i="1"/>
  <c r="I284" i="1" s="1"/>
  <c r="M284" i="1"/>
  <c r="H284" i="1" s="1"/>
  <c r="N284" i="1"/>
  <c r="G284" i="1" s="1"/>
  <c r="K285" i="1"/>
  <c r="J285" i="1" s="1"/>
  <c r="L285" i="1"/>
  <c r="I285" i="1" s="1"/>
  <c r="M285" i="1"/>
  <c r="H285" i="1" s="1"/>
  <c r="N285" i="1"/>
  <c r="G285" i="1" s="1"/>
  <c r="K286" i="1"/>
  <c r="J286" i="1" s="1"/>
  <c r="L286" i="1"/>
  <c r="I286" i="1" s="1"/>
  <c r="M286" i="1"/>
  <c r="H286" i="1" s="1"/>
  <c r="N286" i="1"/>
  <c r="G286" i="1" s="1"/>
  <c r="K287" i="1"/>
  <c r="J287" i="1" s="1"/>
  <c r="L287" i="1"/>
  <c r="I287" i="1" s="1"/>
  <c r="M287" i="1"/>
  <c r="H287" i="1" s="1"/>
  <c r="N287" i="1"/>
  <c r="G287" i="1" s="1"/>
  <c r="K289" i="1"/>
  <c r="J289" i="1" s="1"/>
  <c r="L289" i="1"/>
  <c r="I289" i="1" s="1"/>
  <c r="M289" i="1"/>
  <c r="H289" i="1" s="1"/>
  <c r="N289" i="1"/>
  <c r="G289" i="1" s="1"/>
  <c r="K290" i="1"/>
  <c r="J290" i="1" s="1"/>
  <c r="L290" i="1"/>
  <c r="I290" i="1" s="1"/>
  <c r="M290" i="1"/>
  <c r="H290" i="1" s="1"/>
  <c r="N290" i="1"/>
  <c r="G290" i="1" s="1"/>
  <c r="K291" i="1"/>
  <c r="J291" i="1" s="1"/>
  <c r="L291" i="1"/>
  <c r="I291" i="1" s="1"/>
  <c r="M291" i="1"/>
  <c r="H291" i="1" s="1"/>
  <c r="N291" i="1"/>
  <c r="G291" i="1" s="1"/>
  <c r="K292" i="1"/>
  <c r="J292" i="1" s="1"/>
  <c r="L292" i="1"/>
  <c r="I292" i="1" s="1"/>
  <c r="M292" i="1"/>
  <c r="H292" i="1" s="1"/>
  <c r="N292" i="1"/>
  <c r="G292" i="1" s="1"/>
  <c r="K320" i="1"/>
  <c r="J320" i="1" s="1"/>
  <c r="L320" i="1"/>
  <c r="I320" i="1" s="1"/>
  <c r="M320" i="1"/>
  <c r="H320" i="1" s="1"/>
  <c r="N320" i="1"/>
  <c r="G320" i="1" s="1"/>
  <c r="K321" i="1"/>
  <c r="J321" i="1" s="1"/>
  <c r="L321" i="1"/>
  <c r="I321" i="1" s="1"/>
  <c r="M321" i="1"/>
  <c r="H321" i="1" s="1"/>
  <c r="N321" i="1"/>
  <c r="G321" i="1" s="1"/>
  <c r="K324" i="1"/>
  <c r="J324" i="1" s="1"/>
  <c r="L324" i="1"/>
  <c r="I324" i="1" s="1"/>
  <c r="M324" i="1"/>
  <c r="H324" i="1" s="1"/>
  <c r="N324" i="1"/>
  <c r="G324" i="1" s="1"/>
  <c r="K325" i="1"/>
  <c r="J325" i="1" s="1"/>
  <c r="L325" i="1"/>
  <c r="I325" i="1" s="1"/>
  <c r="M325" i="1"/>
  <c r="H325" i="1" s="1"/>
  <c r="N325" i="1"/>
  <c r="G325" i="1" s="1"/>
  <c r="K328" i="1"/>
  <c r="J328" i="1" s="1"/>
  <c r="L328" i="1"/>
  <c r="I328" i="1" s="1"/>
  <c r="M328" i="1"/>
  <c r="H328" i="1" s="1"/>
  <c r="N328" i="1"/>
  <c r="G328" i="1" s="1"/>
  <c r="K329" i="1"/>
  <c r="J329" i="1" s="1"/>
  <c r="L329" i="1"/>
  <c r="I329" i="1" s="1"/>
  <c r="M329" i="1"/>
  <c r="H329" i="1" s="1"/>
  <c r="N329" i="1"/>
  <c r="G329" i="1" s="1"/>
  <c r="K332" i="1"/>
  <c r="J332" i="1" s="1"/>
  <c r="L332" i="1"/>
  <c r="I332" i="1" s="1"/>
  <c r="M332" i="1"/>
  <c r="H332" i="1" s="1"/>
  <c r="N332" i="1"/>
  <c r="G332" i="1" s="1"/>
  <c r="K333" i="1"/>
  <c r="J333" i="1" s="1"/>
  <c r="L333" i="1"/>
  <c r="I333" i="1" s="1"/>
  <c r="M333" i="1"/>
  <c r="H333" i="1" s="1"/>
  <c r="N333" i="1"/>
  <c r="G333" i="1" s="1"/>
  <c r="K336" i="1"/>
  <c r="J336" i="1" s="1"/>
  <c r="L336" i="1"/>
  <c r="I336" i="1" s="1"/>
  <c r="M336" i="1"/>
  <c r="H336" i="1" s="1"/>
  <c r="N336" i="1"/>
  <c r="G336" i="1" s="1"/>
  <c r="K337" i="1"/>
  <c r="J337" i="1" s="1"/>
  <c r="L337" i="1"/>
  <c r="I337" i="1" s="1"/>
  <c r="M337" i="1"/>
  <c r="H337" i="1" s="1"/>
  <c r="N337" i="1"/>
  <c r="G337" i="1" s="1"/>
  <c r="K340" i="1"/>
  <c r="J340" i="1" s="1"/>
  <c r="L340" i="1"/>
  <c r="I340" i="1" s="1"/>
  <c r="M340" i="1"/>
  <c r="H340" i="1" s="1"/>
  <c r="N340" i="1"/>
  <c r="G340" i="1" s="1"/>
  <c r="K341" i="1"/>
  <c r="J341" i="1" s="1"/>
  <c r="L341" i="1"/>
  <c r="I341" i="1" s="1"/>
  <c r="M341" i="1"/>
  <c r="H341" i="1" s="1"/>
  <c r="N341" i="1"/>
  <c r="G341" i="1" s="1"/>
  <c r="K344" i="1"/>
  <c r="J344" i="1" s="1"/>
  <c r="L344" i="1"/>
  <c r="I344" i="1" s="1"/>
  <c r="M344" i="1"/>
  <c r="H344" i="1" s="1"/>
  <c r="N344" i="1"/>
  <c r="G344" i="1" s="1"/>
  <c r="K345" i="1"/>
  <c r="J345" i="1" s="1"/>
  <c r="L345" i="1"/>
  <c r="I345" i="1" s="1"/>
  <c r="M345" i="1"/>
  <c r="H345" i="1" s="1"/>
  <c r="N345" i="1"/>
  <c r="G345" i="1" s="1"/>
  <c r="K376" i="1"/>
  <c r="J376" i="1" s="1"/>
  <c r="L376" i="1"/>
  <c r="I376" i="1" s="1"/>
  <c r="M376" i="1"/>
  <c r="H376" i="1" s="1"/>
  <c r="N376" i="1"/>
  <c r="G376" i="1" s="1"/>
  <c r="K377" i="1"/>
  <c r="J377" i="1" s="1"/>
  <c r="L377" i="1"/>
  <c r="I377" i="1" s="1"/>
  <c r="M377" i="1"/>
  <c r="H377" i="1" s="1"/>
  <c r="N377" i="1"/>
  <c r="G377" i="1" s="1"/>
  <c r="K378" i="1"/>
  <c r="J378" i="1" s="1"/>
  <c r="L378" i="1"/>
  <c r="I378" i="1" s="1"/>
  <c r="M378" i="1"/>
  <c r="H378" i="1" s="1"/>
  <c r="N378" i="1"/>
  <c r="G378" i="1" s="1"/>
  <c r="K379" i="1"/>
  <c r="J379" i="1" s="1"/>
  <c r="L379" i="1"/>
  <c r="I379" i="1" s="1"/>
  <c r="M379" i="1"/>
  <c r="H379" i="1" s="1"/>
  <c r="N379" i="1"/>
  <c r="G379" i="1" s="1"/>
  <c r="K380" i="1"/>
  <c r="J380" i="1" s="1"/>
  <c r="L380" i="1"/>
  <c r="I380" i="1" s="1"/>
  <c r="M380" i="1"/>
  <c r="H380" i="1" s="1"/>
  <c r="N380" i="1"/>
  <c r="G380" i="1" s="1"/>
  <c r="K381" i="1"/>
  <c r="J381" i="1" s="1"/>
  <c r="L381" i="1"/>
  <c r="I381" i="1" s="1"/>
  <c r="M381" i="1"/>
  <c r="H381" i="1" s="1"/>
  <c r="N381" i="1"/>
  <c r="G381" i="1" s="1"/>
  <c r="K382" i="1"/>
  <c r="J382" i="1" s="1"/>
  <c r="L382" i="1"/>
  <c r="I382" i="1" s="1"/>
  <c r="M382" i="1"/>
  <c r="H382" i="1" s="1"/>
  <c r="N382" i="1"/>
  <c r="G382" i="1" s="1"/>
  <c r="K383" i="1"/>
  <c r="J383" i="1" s="1"/>
  <c r="L383" i="1"/>
  <c r="I383" i="1" s="1"/>
  <c r="M383" i="1"/>
  <c r="H383" i="1" s="1"/>
  <c r="N383" i="1"/>
  <c r="G383" i="1" s="1"/>
  <c r="K386" i="1"/>
  <c r="J386" i="1" s="1"/>
  <c r="L386" i="1"/>
  <c r="I386" i="1" s="1"/>
  <c r="M386" i="1"/>
  <c r="H386" i="1" s="1"/>
  <c r="N386" i="1"/>
  <c r="G386" i="1" s="1"/>
  <c r="K387" i="1"/>
  <c r="J387" i="1" s="1"/>
  <c r="L387" i="1"/>
  <c r="I387" i="1" s="1"/>
  <c r="M387" i="1"/>
  <c r="H387" i="1" s="1"/>
  <c r="N387" i="1"/>
  <c r="G387" i="1" s="1"/>
  <c r="K388" i="1"/>
  <c r="J388" i="1" s="1"/>
  <c r="L388" i="1"/>
  <c r="I388" i="1" s="1"/>
  <c r="M388" i="1"/>
  <c r="H388" i="1" s="1"/>
  <c r="N388" i="1"/>
  <c r="G388" i="1" s="1"/>
  <c r="K389" i="1"/>
  <c r="J389" i="1" s="1"/>
  <c r="L389" i="1"/>
  <c r="I389" i="1" s="1"/>
  <c r="M389" i="1"/>
  <c r="H389" i="1" s="1"/>
  <c r="N389" i="1"/>
  <c r="G389" i="1" s="1"/>
  <c r="K390" i="1"/>
  <c r="J390" i="1" s="1"/>
  <c r="L390" i="1"/>
  <c r="I390" i="1" s="1"/>
  <c r="M390" i="1"/>
  <c r="H390" i="1" s="1"/>
  <c r="N390" i="1"/>
  <c r="G390" i="1" s="1"/>
  <c r="K391" i="1"/>
  <c r="J391" i="1" s="1"/>
  <c r="L391" i="1"/>
  <c r="I391" i="1" s="1"/>
  <c r="M391" i="1"/>
  <c r="H391" i="1" s="1"/>
  <c r="N391" i="1"/>
  <c r="G391" i="1" s="1"/>
  <c r="K392" i="1"/>
  <c r="J392" i="1" s="1"/>
  <c r="L392" i="1"/>
  <c r="I392" i="1" s="1"/>
  <c r="M392" i="1"/>
  <c r="H392" i="1" s="1"/>
  <c r="N392" i="1"/>
  <c r="G392" i="1" s="1"/>
  <c r="K393" i="1"/>
  <c r="J393" i="1" s="1"/>
  <c r="L393" i="1"/>
  <c r="I393" i="1" s="1"/>
  <c r="M393" i="1"/>
  <c r="H393" i="1" s="1"/>
  <c r="N393" i="1"/>
  <c r="G393" i="1" s="1"/>
  <c r="K396" i="1"/>
  <c r="J396" i="1" s="1"/>
  <c r="L396" i="1"/>
  <c r="I396" i="1" s="1"/>
  <c r="M396" i="1"/>
  <c r="H396" i="1" s="1"/>
  <c r="N396" i="1"/>
  <c r="G396" i="1" s="1"/>
  <c r="K397" i="1"/>
  <c r="J397" i="1" s="1"/>
  <c r="L397" i="1"/>
  <c r="I397" i="1" s="1"/>
  <c r="M397" i="1"/>
  <c r="H397" i="1" s="1"/>
  <c r="N397" i="1"/>
  <c r="G397" i="1" s="1"/>
  <c r="K398" i="1"/>
  <c r="J398" i="1" s="1"/>
  <c r="L398" i="1"/>
  <c r="I398" i="1" s="1"/>
  <c r="M398" i="1"/>
  <c r="H398" i="1" s="1"/>
  <c r="N398" i="1"/>
  <c r="G398" i="1" s="1"/>
  <c r="K399" i="1"/>
  <c r="J399" i="1" s="1"/>
  <c r="L399" i="1"/>
  <c r="I399" i="1" s="1"/>
  <c r="M399" i="1"/>
  <c r="H399" i="1" s="1"/>
  <c r="N399" i="1"/>
  <c r="G399" i="1" s="1"/>
  <c r="K400" i="1"/>
  <c r="J400" i="1" s="1"/>
  <c r="L400" i="1"/>
  <c r="I400" i="1" s="1"/>
  <c r="M400" i="1"/>
  <c r="H400" i="1" s="1"/>
  <c r="N400" i="1"/>
  <c r="G400" i="1" s="1"/>
  <c r="K401" i="1"/>
  <c r="J401" i="1" s="1"/>
  <c r="L401" i="1"/>
  <c r="I401" i="1" s="1"/>
  <c r="M401" i="1"/>
  <c r="H401" i="1" s="1"/>
  <c r="N401" i="1"/>
  <c r="G401" i="1" s="1"/>
  <c r="K402" i="1"/>
  <c r="J402" i="1" s="1"/>
  <c r="L402" i="1"/>
  <c r="I402" i="1" s="1"/>
  <c r="M402" i="1"/>
  <c r="H402" i="1" s="1"/>
  <c r="N402" i="1"/>
  <c r="G402" i="1" s="1"/>
  <c r="K403" i="1"/>
  <c r="J403" i="1" s="1"/>
  <c r="L403" i="1"/>
  <c r="I403" i="1" s="1"/>
  <c r="M403" i="1"/>
  <c r="H403" i="1" s="1"/>
  <c r="N403" i="1"/>
  <c r="G403" i="1" s="1"/>
  <c r="K406" i="1"/>
  <c r="J406" i="1" s="1"/>
  <c r="L406" i="1"/>
  <c r="I406" i="1" s="1"/>
  <c r="M406" i="1"/>
  <c r="H406" i="1" s="1"/>
  <c r="N406" i="1"/>
  <c r="G406" i="1" s="1"/>
  <c r="K407" i="1"/>
  <c r="J407" i="1" s="1"/>
  <c r="L407" i="1"/>
  <c r="I407" i="1" s="1"/>
  <c r="M407" i="1"/>
  <c r="H407" i="1" s="1"/>
  <c r="N407" i="1"/>
  <c r="G407" i="1" s="1"/>
  <c r="K408" i="1"/>
  <c r="J408" i="1" s="1"/>
  <c r="L408" i="1"/>
  <c r="I408" i="1" s="1"/>
  <c r="M408" i="1"/>
  <c r="H408" i="1" s="1"/>
  <c r="N408" i="1"/>
  <c r="G408" i="1" s="1"/>
  <c r="K409" i="1"/>
  <c r="J409" i="1" s="1"/>
  <c r="L409" i="1"/>
  <c r="I409" i="1" s="1"/>
  <c r="M409" i="1"/>
  <c r="H409" i="1" s="1"/>
  <c r="N409" i="1"/>
  <c r="G409" i="1" s="1"/>
  <c r="K410" i="1"/>
  <c r="J410" i="1" s="1"/>
  <c r="L410" i="1"/>
  <c r="I410" i="1" s="1"/>
  <c r="M410" i="1"/>
  <c r="H410" i="1" s="1"/>
  <c r="N410" i="1"/>
  <c r="G410" i="1" s="1"/>
  <c r="K411" i="1"/>
  <c r="J411" i="1" s="1"/>
  <c r="L411" i="1"/>
  <c r="I411" i="1" s="1"/>
  <c r="M411" i="1"/>
  <c r="H411" i="1" s="1"/>
  <c r="N411" i="1"/>
  <c r="G411" i="1" s="1"/>
  <c r="K412" i="1"/>
  <c r="J412" i="1" s="1"/>
  <c r="L412" i="1"/>
  <c r="I412" i="1" s="1"/>
  <c r="M412" i="1"/>
  <c r="H412" i="1" s="1"/>
  <c r="N412" i="1"/>
  <c r="G412" i="1" s="1"/>
  <c r="K413" i="1"/>
  <c r="J413" i="1" s="1"/>
  <c r="L413" i="1"/>
  <c r="I413" i="1" s="1"/>
  <c r="M413" i="1"/>
  <c r="H413" i="1" s="1"/>
  <c r="N413" i="1"/>
  <c r="G413" i="1" s="1"/>
  <c r="K416" i="1"/>
  <c r="J416" i="1" s="1"/>
  <c r="L416" i="1"/>
  <c r="I416" i="1" s="1"/>
  <c r="M416" i="1"/>
  <c r="H416" i="1" s="1"/>
  <c r="N416" i="1"/>
  <c r="G416" i="1" s="1"/>
  <c r="K417" i="1"/>
  <c r="J417" i="1" s="1"/>
  <c r="L417" i="1"/>
  <c r="I417" i="1" s="1"/>
  <c r="M417" i="1"/>
  <c r="H417" i="1" s="1"/>
  <c r="N417" i="1"/>
  <c r="G417" i="1" s="1"/>
  <c r="K418" i="1"/>
  <c r="J418" i="1" s="1"/>
  <c r="L418" i="1"/>
  <c r="I418" i="1" s="1"/>
  <c r="M418" i="1"/>
  <c r="H418" i="1" s="1"/>
  <c r="N418" i="1"/>
  <c r="G418" i="1" s="1"/>
  <c r="K419" i="1"/>
  <c r="J419" i="1" s="1"/>
  <c r="L419" i="1"/>
  <c r="I419" i="1" s="1"/>
  <c r="M419" i="1"/>
  <c r="H419" i="1" s="1"/>
  <c r="N419" i="1"/>
  <c r="G419" i="1" s="1"/>
  <c r="K420" i="1"/>
  <c r="J420" i="1" s="1"/>
  <c r="L420" i="1"/>
  <c r="I420" i="1" s="1"/>
  <c r="M420" i="1"/>
  <c r="H420" i="1" s="1"/>
  <c r="N420" i="1"/>
  <c r="G420" i="1" s="1"/>
  <c r="K421" i="1"/>
  <c r="J421" i="1" s="1"/>
  <c r="L421" i="1"/>
  <c r="I421" i="1" s="1"/>
  <c r="M421" i="1"/>
  <c r="H421" i="1" s="1"/>
  <c r="N421" i="1"/>
  <c r="G421" i="1" s="1"/>
  <c r="K422" i="1"/>
  <c r="J422" i="1" s="1"/>
  <c r="L422" i="1"/>
  <c r="I422" i="1" s="1"/>
  <c r="M422" i="1"/>
  <c r="H422" i="1" s="1"/>
  <c r="N422" i="1"/>
  <c r="G422" i="1" s="1"/>
  <c r="K423" i="1"/>
  <c r="J423" i="1" s="1"/>
  <c r="L423" i="1"/>
  <c r="I423" i="1" s="1"/>
  <c r="M423" i="1"/>
  <c r="H423" i="1" s="1"/>
  <c r="N423" i="1"/>
  <c r="G423" i="1" s="1"/>
  <c r="K426" i="1"/>
  <c r="J426" i="1" s="1"/>
  <c r="L426" i="1"/>
  <c r="I426" i="1" s="1"/>
  <c r="M426" i="1"/>
  <c r="H426" i="1" s="1"/>
  <c r="N426" i="1"/>
  <c r="G426" i="1" s="1"/>
  <c r="K427" i="1"/>
  <c r="J427" i="1" s="1"/>
  <c r="L427" i="1"/>
  <c r="I427" i="1" s="1"/>
  <c r="M427" i="1"/>
  <c r="H427" i="1" s="1"/>
  <c r="N427" i="1"/>
  <c r="G427" i="1" s="1"/>
  <c r="K121" i="1"/>
  <c r="J121" i="1" s="1"/>
  <c r="L121" i="1"/>
  <c r="I121" i="1" s="1"/>
  <c r="M121" i="1"/>
  <c r="H121" i="1" s="1"/>
  <c r="N121" i="1"/>
  <c r="G121" i="1" s="1"/>
  <c r="K124" i="1"/>
  <c r="J124" i="1" s="1"/>
  <c r="L124" i="1"/>
  <c r="I124" i="1" s="1"/>
  <c r="M124" i="1"/>
  <c r="H124" i="1" s="1"/>
  <c r="N124" i="1"/>
  <c r="G124" i="1" s="1"/>
  <c r="K125" i="1"/>
  <c r="J125" i="1" s="1"/>
  <c r="L125" i="1"/>
  <c r="I125" i="1" s="1"/>
  <c r="M125" i="1"/>
  <c r="H125" i="1" s="1"/>
  <c r="N125" i="1"/>
  <c r="G125" i="1" s="1"/>
  <c r="M4" i="1"/>
  <c r="H4" i="1" s="1"/>
  <c r="M5" i="1"/>
  <c r="H5" i="1" s="1"/>
  <c r="M9" i="1"/>
  <c r="H9" i="1" s="1"/>
  <c r="M10" i="1"/>
  <c r="H10" i="1" s="1"/>
  <c r="M11" i="1"/>
  <c r="H11" i="1" s="1"/>
  <c r="M15" i="1"/>
  <c r="H15" i="1" s="1"/>
  <c r="M16" i="1"/>
  <c r="H16" i="1" s="1"/>
  <c r="M17" i="1"/>
  <c r="H17" i="1" s="1"/>
  <c r="M21" i="1"/>
  <c r="H21" i="1" s="1"/>
  <c r="M22" i="1"/>
  <c r="H22" i="1" s="1"/>
  <c r="M23" i="1"/>
  <c r="H23" i="1" s="1"/>
  <c r="M27" i="1"/>
  <c r="H27" i="1" s="1"/>
  <c r="M28" i="1"/>
  <c r="H28" i="1" s="1"/>
  <c r="M29" i="1"/>
  <c r="H29" i="1" s="1"/>
  <c r="M59" i="1"/>
  <c r="H59" i="1" s="1"/>
  <c r="M62" i="1"/>
  <c r="H62" i="1" s="1"/>
  <c r="M63" i="1"/>
  <c r="H63" i="1" s="1"/>
  <c r="M66" i="1"/>
  <c r="H66" i="1" s="1"/>
  <c r="M67" i="1"/>
  <c r="H67" i="1" s="1"/>
  <c r="M70" i="1"/>
  <c r="H70" i="1" s="1"/>
  <c r="M71" i="1"/>
  <c r="H71" i="1" s="1"/>
  <c r="M74" i="1"/>
  <c r="H74" i="1" s="1"/>
  <c r="M75" i="1"/>
  <c r="H75" i="1" s="1"/>
  <c r="M78" i="1"/>
  <c r="H78" i="1" s="1"/>
  <c r="M79" i="1"/>
  <c r="H79" i="1" s="1"/>
  <c r="M120" i="1"/>
  <c r="H120" i="1" s="1"/>
  <c r="L4" i="1"/>
  <c r="I4" i="1" s="1"/>
  <c r="L5" i="1"/>
  <c r="I5" i="1" s="1"/>
  <c r="L9" i="1"/>
  <c r="I9" i="1" s="1"/>
  <c r="L10" i="1"/>
  <c r="I10" i="1" s="1"/>
  <c r="L11" i="1"/>
  <c r="I11" i="1" s="1"/>
  <c r="L15" i="1"/>
  <c r="I15" i="1" s="1"/>
  <c r="L16" i="1"/>
  <c r="I16" i="1" s="1"/>
  <c r="L17" i="1"/>
  <c r="I17" i="1" s="1"/>
  <c r="L21" i="1"/>
  <c r="I21" i="1" s="1"/>
  <c r="L22" i="1"/>
  <c r="I22" i="1" s="1"/>
  <c r="L23" i="1"/>
  <c r="I23" i="1" s="1"/>
  <c r="L27" i="1"/>
  <c r="I27" i="1" s="1"/>
  <c r="L28" i="1"/>
  <c r="I28" i="1" s="1"/>
  <c r="L29" i="1"/>
  <c r="I29" i="1" s="1"/>
  <c r="L59" i="1"/>
  <c r="I59" i="1" s="1"/>
  <c r="I62" i="1"/>
  <c r="L63" i="1"/>
  <c r="I63" i="1" s="1"/>
  <c r="L66" i="1"/>
  <c r="I66" i="1" s="1"/>
  <c r="L67" i="1"/>
  <c r="I67" i="1" s="1"/>
  <c r="L70" i="1"/>
  <c r="I70" i="1" s="1"/>
  <c r="L71" i="1"/>
  <c r="I71" i="1" s="1"/>
  <c r="L74" i="1"/>
  <c r="I74" i="1" s="1"/>
  <c r="L75" i="1"/>
  <c r="I75" i="1" s="1"/>
  <c r="L78" i="1"/>
  <c r="I78" i="1" s="1"/>
  <c r="L79" i="1"/>
  <c r="I79" i="1" s="1"/>
  <c r="L120" i="1"/>
  <c r="I120" i="1" s="1"/>
  <c r="J59" i="1"/>
  <c r="N59" i="1"/>
  <c r="G59" i="1" s="1"/>
  <c r="K62" i="1"/>
  <c r="J62" i="1" s="1"/>
  <c r="N62" i="1"/>
  <c r="G62" i="1" s="1"/>
  <c r="K63" i="1"/>
  <c r="J63" i="1" s="1"/>
  <c r="N63" i="1"/>
  <c r="G63" i="1" s="1"/>
  <c r="K66" i="1"/>
  <c r="J66" i="1" s="1"/>
  <c r="N66" i="1"/>
  <c r="G66" i="1" s="1"/>
  <c r="K67" i="1"/>
  <c r="J67" i="1" s="1"/>
  <c r="N67" i="1"/>
  <c r="G67" i="1" s="1"/>
  <c r="K70" i="1"/>
  <c r="J70" i="1" s="1"/>
  <c r="N70" i="1"/>
  <c r="G70" i="1" s="1"/>
  <c r="K71" i="1"/>
  <c r="J71" i="1" s="1"/>
  <c r="N71" i="1"/>
  <c r="G71" i="1" s="1"/>
  <c r="K74" i="1"/>
  <c r="J74" i="1" s="1"/>
  <c r="N74" i="1"/>
  <c r="G74" i="1" s="1"/>
  <c r="K75" i="1"/>
  <c r="J75" i="1" s="1"/>
  <c r="N75" i="1"/>
  <c r="G75" i="1" s="1"/>
  <c r="K78" i="1"/>
  <c r="J78" i="1" s="1"/>
  <c r="N78" i="1"/>
  <c r="G78" i="1" s="1"/>
  <c r="K79" i="1"/>
  <c r="J79" i="1" s="1"/>
  <c r="N79" i="1"/>
  <c r="G79" i="1" s="1"/>
  <c r="K120" i="1"/>
  <c r="J120" i="1" s="1"/>
  <c r="N120" i="1"/>
  <c r="G120" i="1" s="1"/>
  <c r="K29" i="1"/>
  <c r="J29" i="1" s="1"/>
  <c r="N29" i="1"/>
  <c r="G29" i="1" s="1"/>
  <c r="K10" i="1"/>
  <c r="J10" i="1" s="1"/>
  <c r="N10" i="1"/>
  <c r="G10" i="1" s="1"/>
  <c r="K11" i="1"/>
  <c r="J11" i="1" s="1"/>
  <c r="N11" i="1"/>
  <c r="G11" i="1" s="1"/>
  <c r="K15" i="1"/>
  <c r="J15" i="1" s="1"/>
  <c r="N15" i="1"/>
  <c r="G15" i="1" s="1"/>
  <c r="K16" i="1"/>
  <c r="J16" i="1" s="1"/>
  <c r="N16" i="1"/>
  <c r="G16" i="1" s="1"/>
  <c r="K17" i="1"/>
  <c r="J17" i="1" s="1"/>
  <c r="N17" i="1"/>
  <c r="G17" i="1" s="1"/>
  <c r="K21" i="1"/>
  <c r="J21" i="1" s="1"/>
  <c r="N21" i="1"/>
  <c r="G21" i="1" s="1"/>
  <c r="K22" i="1"/>
  <c r="J22" i="1" s="1"/>
  <c r="N22" i="1"/>
  <c r="G22" i="1" s="1"/>
  <c r="K23" i="1"/>
  <c r="J23" i="1" s="1"/>
  <c r="N23" i="1"/>
  <c r="G23" i="1" s="1"/>
  <c r="K27" i="1"/>
  <c r="J27" i="1" s="1"/>
  <c r="N27" i="1"/>
  <c r="G27" i="1" s="1"/>
  <c r="K28" i="1"/>
  <c r="J28" i="1" s="1"/>
  <c r="N28" i="1"/>
  <c r="G28" i="1" s="1"/>
  <c r="K9" i="1"/>
  <c r="J9" i="1" s="1"/>
  <c r="N9" i="1"/>
  <c r="G9" i="1" s="1"/>
  <c r="K5" i="1"/>
  <c r="J5" i="1" s="1"/>
  <c r="N5" i="1"/>
  <c r="G5" i="1" s="1"/>
  <c r="N4" i="1"/>
  <c r="G4" i="1" s="1"/>
  <c r="K4" i="1"/>
  <c r="J4" i="1" s="1"/>
  <c r="A90" i="2"/>
  <c r="D70" i="3"/>
  <c r="F70" i="3"/>
  <c r="R25" i="3"/>
  <c r="R24" i="3"/>
  <c r="R23" i="3"/>
  <c r="R22" i="3"/>
  <c r="R21" i="3"/>
  <c r="BJ10" i="4"/>
  <c r="F69" i="3" s="1"/>
  <c r="L14" i="3"/>
  <c r="A88" i="2"/>
  <c r="A87" i="2"/>
  <c r="A1" i="6" l="1"/>
  <c r="M3" i="5"/>
  <c r="B2" i="5"/>
  <c r="A81" i="2"/>
  <c r="BF6" i="4" l="1"/>
  <c r="A71" i="2"/>
  <c r="A75" i="2"/>
  <c r="A76" i="2"/>
  <c r="A77" i="2"/>
  <c r="A78" i="2"/>
  <c r="A73" i="2"/>
  <c r="A72" i="2"/>
  <c r="A58" i="2"/>
  <c r="A49" i="2"/>
  <c r="A50" i="2"/>
  <c r="A52" i="2"/>
  <c r="A53" i="2"/>
  <c r="A55" i="2"/>
  <c r="A56" i="2"/>
  <c r="A59" i="2"/>
  <c r="A44" i="2"/>
  <c r="A46" i="2"/>
  <c r="A47" i="2"/>
  <c r="M59" i="4"/>
  <c r="Q7" i="3" s="1"/>
  <c r="A43" i="2"/>
  <c r="A33" i="2"/>
  <c r="A35" i="2"/>
  <c r="A36" i="2"/>
  <c r="A37" i="2"/>
  <c r="M55" i="4"/>
  <c r="Q6" i="3" s="1"/>
  <c r="P55" i="4"/>
  <c r="A25" i="2"/>
  <c r="A27" i="2"/>
  <c r="A28" i="2"/>
  <c r="A29" i="2"/>
  <c r="A31" i="2"/>
  <c r="P46" i="4" l="1"/>
  <c r="M51" i="4"/>
  <c r="Q5" i="3" s="1"/>
  <c r="AS47" i="4"/>
  <c r="Q9" i="3" s="1"/>
  <c r="AS51" i="4"/>
  <c r="Q10" i="3" s="1"/>
  <c r="AJ4" i="4"/>
  <c r="P43" i="4"/>
  <c r="P50" i="4"/>
  <c r="AV55" i="4"/>
  <c r="AV47" i="4"/>
  <c r="AJ7" i="4"/>
  <c r="X4" i="4"/>
  <c r="M43" i="4"/>
  <c r="Q3" i="3" s="1"/>
  <c r="P59" i="4"/>
  <c r="AS43" i="4"/>
  <c r="Q8" i="3" s="1"/>
  <c r="AS55" i="4"/>
  <c r="Q11" i="3" s="1"/>
  <c r="AV58" i="4"/>
  <c r="AJ6" i="4"/>
  <c r="AS59" i="4"/>
  <c r="Q12" i="3" s="1"/>
  <c r="AI4" i="4"/>
  <c r="AV43" i="4"/>
  <c r="P42" i="4"/>
  <c r="P51" i="4"/>
  <c r="AV59" i="4"/>
  <c r="AV51" i="4"/>
  <c r="X2" i="4"/>
  <c r="AJ5" i="4"/>
  <c r="AV50" i="4"/>
  <c r="AV54" i="4"/>
  <c r="AV42" i="4"/>
  <c r="AV46" i="4"/>
  <c r="P54" i="4"/>
  <c r="P58" i="4"/>
  <c r="M47" i="4"/>
  <c r="Q4" i="3" s="1"/>
  <c r="A32" i="2"/>
  <c r="P2" i="3" l="1"/>
  <c r="B2" i="6" s="1"/>
  <c r="P47" i="4"/>
  <c r="A109" i="2"/>
  <c r="D75" i="3" s="1"/>
  <c r="C3" i="6" s="1"/>
  <c r="A108" i="2"/>
  <c r="D16" i="4" s="1"/>
  <c r="A110" i="2"/>
  <c r="H75" i="3" s="1"/>
  <c r="F3" i="6" s="1"/>
  <c r="A107" i="2"/>
  <c r="F75" i="3" s="1"/>
  <c r="E3" i="6" s="1"/>
  <c r="A139" i="2"/>
  <c r="E75" i="3" l="1"/>
  <c r="E3" i="5"/>
  <c r="C3" i="5"/>
  <c r="F3" i="5"/>
  <c r="A136" i="2"/>
  <c r="A137" i="2"/>
  <c r="Y116" i="1" l="1"/>
  <c r="Y163" i="1"/>
  <c r="Y161" i="1"/>
  <c r="Y158" i="1"/>
  <c r="Y162" i="1"/>
  <c r="Y159" i="1"/>
  <c r="Y160" i="1"/>
  <c r="Y165" i="1"/>
  <c r="Y164" i="1"/>
  <c r="Y110" i="1"/>
  <c r="Y111" i="1"/>
  <c r="Y112" i="1"/>
  <c r="Y114" i="1"/>
  <c r="Y113" i="1"/>
  <c r="Y117" i="1"/>
  <c r="Y115" i="1"/>
  <c r="Y809" i="1"/>
  <c r="Y805" i="1"/>
  <c r="Y791" i="1"/>
  <c r="Y808" i="1"/>
  <c r="Y799" i="1"/>
  <c r="Y804" i="1"/>
  <c r="Y803" i="1"/>
  <c r="Y793" i="1"/>
  <c r="Y788" i="1"/>
  <c r="Y787" i="1"/>
  <c r="Y783" i="1"/>
  <c r="Y802" i="1"/>
  <c r="Y781" i="1"/>
  <c r="Y779" i="1"/>
  <c r="Y774" i="1"/>
  <c r="Y773" i="1"/>
  <c r="Y790" i="1"/>
  <c r="Y767" i="1"/>
  <c r="Y762" i="1"/>
  <c r="Y751" i="1"/>
  <c r="Y806" i="1"/>
  <c r="Y797" i="1"/>
  <c r="Y798" i="1"/>
  <c r="Y796" i="1"/>
  <c r="Y786" i="1"/>
  <c r="Y785" i="1"/>
  <c r="Y772" i="1"/>
  <c r="Y760" i="1"/>
  <c r="Y756" i="1"/>
  <c r="Y754" i="1"/>
  <c r="Y792" i="1"/>
  <c r="Y761" i="1"/>
  <c r="Y755" i="1"/>
  <c r="Y768" i="1"/>
  <c r="Y747" i="1"/>
  <c r="Y745" i="1"/>
  <c r="Y807" i="1"/>
  <c r="Y789" i="1"/>
  <c r="Y784" i="1"/>
  <c r="Y775" i="1"/>
  <c r="Y771" i="1"/>
  <c r="Y749" i="1"/>
  <c r="Y794" i="1"/>
  <c r="Y782" i="1"/>
  <c r="Y746" i="1"/>
  <c r="Y744" i="1"/>
  <c r="Y742" i="1"/>
  <c r="Y777" i="1"/>
  <c r="Y763" i="1"/>
  <c r="Y795" i="1"/>
  <c r="Y776" i="1"/>
  <c r="Y766" i="1"/>
  <c r="Y765" i="1"/>
  <c r="Y758" i="1"/>
  <c r="Y743" i="1"/>
  <c r="Y752" i="1"/>
  <c r="Y770" i="1"/>
  <c r="Y764" i="1"/>
  <c r="Y750" i="1"/>
  <c r="Y748" i="1"/>
  <c r="Y780" i="1"/>
  <c r="Y753" i="1"/>
  <c r="Y778" i="1"/>
  <c r="Y769" i="1"/>
  <c r="Y759" i="1"/>
  <c r="Y801" i="1"/>
  <c r="Y800" i="1"/>
  <c r="Y757" i="1"/>
  <c r="Y673" i="1"/>
  <c r="Y669" i="1"/>
  <c r="Y668" i="1"/>
  <c r="Y664" i="1"/>
  <c r="Y663" i="1"/>
  <c r="Y659" i="1"/>
  <c r="Y655" i="1"/>
  <c r="Y654" i="1"/>
  <c r="Y653" i="1"/>
  <c r="Y649" i="1"/>
  <c r="Y670" i="1"/>
  <c r="Y665" i="1"/>
  <c r="Y660" i="1"/>
  <c r="Y656" i="1"/>
  <c r="Y650" i="1"/>
  <c r="Y646" i="1"/>
  <c r="Y640" i="1"/>
  <c r="Y667" i="1"/>
  <c r="Y657" i="1"/>
  <c r="Y648" i="1"/>
  <c r="Y658" i="1"/>
  <c r="Y647" i="1"/>
  <c r="Y661" i="1"/>
  <c r="Y652" i="1"/>
  <c r="Y651" i="1"/>
  <c r="Y643" i="1"/>
  <c r="Y666" i="1"/>
  <c r="Y644" i="1"/>
  <c r="Y672" i="1"/>
  <c r="Y662" i="1"/>
  <c r="Y639" i="1"/>
  <c r="Y641" i="1"/>
  <c r="Y637" i="1"/>
  <c r="Y624" i="1"/>
  <c r="Y622" i="1"/>
  <c r="Y619" i="1"/>
  <c r="Y615" i="1"/>
  <c r="Y645" i="1"/>
  <c r="Y642" i="1"/>
  <c r="Y638" i="1"/>
  <c r="Y628" i="1"/>
  <c r="Y626" i="1"/>
  <c r="Y635" i="1"/>
  <c r="Y633" i="1"/>
  <c r="Y631" i="1"/>
  <c r="Y618" i="1"/>
  <c r="Y614" i="1"/>
  <c r="Y607" i="1"/>
  <c r="Y603" i="1"/>
  <c r="Y599" i="1"/>
  <c r="Y597" i="1"/>
  <c r="Y595" i="1"/>
  <c r="Y629" i="1"/>
  <c r="Y610" i="1"/>
  <c r="Y601" i="1"/>
  <c r="Y630" i="1"/>
  <c r="Y621" i="1"/>
  <c r="Y620" i="1"/>
  <c r="Y609" i="1"/>
  <c r="Y636" i="1"/>
  <c r="Y625" i="1"/>
  <c r="Y611" i="1"/>
  <c r="Y617" i="1"/>
  <c r="Y602" i="1"/>
  <c r="Y623" i="1"/>
  <c r="Y598" i="1"/>
  <c r="Y616" i="1"/>
  <c r="Y608" i="1"/>
  <c r="Y612" i="1"/>
  <c r="Y604" i="1"/>
  <c r="Y596" i="1"/>
  <c r="Y671" i="1"/>
  <c r="Y627" i="1"/>
  <c r="Y634" i="1"/>
  <c r="Y606" i="1"/>
  <c r="Y605" i="1"/>
  <c r="Y594" i="1"/>
  <c r="Y632" i="1"/>
  <c r="Y600" i="1"/>
  <c r="Y613" i="1"/>
  <c r="Y513" i="1"/>
  <c r="Y509" i="1"/>
  <c r="Y505" i="1"/>
  <c r="Y504" i="1"/>
  <c r="Y503" i="1"/>
  <c r="Y499" i="1"/>
  <c r="Y495" i="1"/>
  <c r="Y494" i="1"/>
  <c r="Y493" i="1"/>
  <c r="Y489" i="1"/>
  <c r="Y510" i="1"/>
  <c r="Y498" i="1"/>
  <c r="Y497" i="1"/>
  <c r="Y480" i="1"/>
  <c r="Y502" i="1"/>
  <c r="Y501" i="1"/>
  <c r="Y484" i="1"/>
  <c r="Y477" i="1"/>
  <c r="Y512" i="1"/>
  <c r="Y511" i="1"/>
  <c r="Y483" i="1"/>
  <c r="Y478" i="1"/>
  <c r="Y472" i="1"/>
  <c r="Y468" i="1"/>
  <c r="Y500" i="1"/>
  <c r="Y487" i="1"/>
  <c r="Y486" i="1"/>
  <c r="Y481" i="1"/>
  <c r="Y506" i="1"/>
  <c r="Y496" i="1"/>
  <c r="Y491" i="1"/>
  <c r="Y485" i="1"/>
  <c r="Y474" i="1"/>
  <c r="Y462" i="1"/>
  <c r="Y458" i="1"/>
  <c r="Y467" i="1"/>
  <c r="Y469" i="1"/>
  <c r="Y459" i="1"/>
  <c r="Y455" i="1"/>
  <c r="Y454" i="1"/>
  <c r="Y453" i="1"/>
  <c r="Y449" i="1"/>
  <c r="Y445" i="1"/>
  <c r="Y444" i="1"/>
  <c r="Y507" i="1"/>
  <c r="Y492" i="1"/>
  <c r="Y482" i="1"/>
  <c r="Y479" i="1"/>
  <c r="Y464" i="1"/>
  <c r="Y461" i="1"/>
  <c r="Y457" i="1"/>
  <c r="Y451" i="1"/>
  <c r="Y447" i="1"/>
  <c r="Y490" i="1"/>
  <c r="Y466" i="1"/>
  <c r="Y471" i="1"/>
  <c r="Y448" i="1"/>
  <c r="Y446" i="1"/>
  <c r="Y488" i="1"/>
  <c r="Y463" i="1"/>
  <c r="Y456" i="1"/>
  <c r="Y476" i="1"/>
  <c r="Y473" i="1"/>
  <c r="Y460" i="1"/>
  <c r="Y452" i="1"/>
  <c r="Y508" i="1"/>
  <c r="Y470" i="1"/>
  <c r="Y465" i="1"/>
  <c r="Y475" i="1"/>
  <c r="Y450" i="1"/>
  <c r="Y317" i="1"/>
  <c r="Y313" i="1"/>
  <c r="Y312" i="1"/>
  <c r="Y308" i="1"/>
  <c r="Y307" i="1"/>
  <c r="Y315" i="1"/>
  <c r="Y310" i="1"/>
  <c r="Y305" i="1"/>
  <c r="Y316" i="1"/>
  <c r="Y311" i="1"/>
  <c r="Y306" i="1"/>
  <c r="Y301" i="1"/>
  <c r="Y296" i="1"/>
  <c r="Y314" i="1"/>
  <c r="Y302" i="1"/>
  <c r="Y300" i="1"/>
  <c r="Y304" i="1"/>
  <c r="Y309" i="1"/>
  <c r="Y293" i="1"/>
  <c r="Y294" i="1"/>
  <c r="Y298" i="1"/>
  <c r="Y299" i="1"/>
  <c r="Y303" i="1"/>
  <c r="Y297" i="1"/>
  <c r="Y295" i="1"/>
  <c r="Y266" i="1"/>
  <c r="Y263" i="1"/>
  <c r="Y265" i="1"/>
  <c r="Y267" i="1"/>
  <c r="Y258" i="1"/>
  <c r="Y260" i="1"/>
  <c r="Y262" i="1"/>
  <c r="Y259" i="1"/>
  <c r="Y264" i="1"/>
  <c r="Y261" i="1"/>
  <c r="Y247" i="1"/>
  <c r="Y242" i="1"/>
  <c r="Y241" i="1"/>
  <c r="Y236" i="1"/>
  <c r="Y235" i="1"/>
  <c r="Y230" i="1"/>
  <c r="Y229" i="1"/>
  <c r="Y243" i="1"/>
  <c r="Y237" i="1"/>
  <c r="Y231" i="1"/>
  <c r="Y245" i="1"/>
  <c r="Y239" i="1"/>
  <c r="Y238" i="1"/>
  <c r="Y227" i="1"/>
  <c r="Y244" i="1"/>
  <c r="Y233" i="1"/>
  <c r="Y232" i="1"/>
  <c r="Y246" i="1"/>
  <c r="Y240" i="1"/>
  <c r="Y234" i="1"/>
  <c r="Y228" i="1"/>
  <c r="Y203" i="1"/>
  <c r="Y201" i="1"/>
  <c r="Y198" i="1"/>
  <c r="Y195" i="1"/>
  <c r="Y193" i="1"/>
  <c r="Y190" i="1"/>
  <c r="Y187" i="1"/>
  <c r="Y185" i="1"/>
  <c r="Y204" i="1"/>
  <c r="Y196" i="1"/>
  <c r="Y188" i="1"/>
  <c r="Y181" i="1"/>
  <c r="Y172" i="1"/>
  <c r="Y189" i="1"/>
  <c r="Y186" i="1"/>
  <c r="Y182" i="1"/>
  <c r="Y205" i="1"/>
  <c r="Y202" i="1"/>
  <c r="Y184" i="1"/>
  <c r="Y194" i="1"/>
  <c r="Y177" i="1"/>
  <c r="Y178" i="1"/>
  <c r="Y176" i="1"/>
  <c r="Y166" i="1"/>
  <c r="Y191" i="1"/>
  <c r="Y183" i="1"/>
  <c r="Y167" i="1"/>
  <c r="Y192" i="1"/>
  <c r="Y174" i="1"/>
  <c r="Y171" i="1"/>
  <c r="Y200" i="1"/>
  <c r="Y179" i="1"/>
  <c r="Y173" i="1"/>
  <c r="Y170" i="1"/>
  <c r="Y199" i="1"/>
  <c r="Y175" i="1"/>
  <c r="Y168" i="1"/>
  <c r="Y197" i="1"/>
  <c r="Y180" i="1"/>
  <c r="Y169" i="1"/>
  <c r="Y109" i="1"/>
  <c r="Y93" i="1"/>
  <c r="Y84" i="1"/>
  <c r="Y100" i="1"/>
  <c r="Y94" i="1"/>
  <c r="Y91" i="1"/>
  <c r="Y97" i="1"/>
  <c r="Y105" i="1"/>
  <c r="Y89" i="1"/>
  <c r="Y104" i="1"/>
  <c r="Y99" i="1"/>
  <c r="Y98" i="1"/>
  <c r="Y90" i="1"/>
  <c r="Y96" i="1"/>
  <c r="Y106" i="1"/>
  <c r="Y87" i="1"/>
  <c r="Y86" i="1"/>
  <c r="Y92" i="1"/>
  <c r="Y108" i="1"/>
  <c r="Y103" i="1"/>
  <c r="Y102" i="1"/>
  <c r="Y107" i="1"/>
  <c r="Y101" i="1"/>
  <c r="Y88" i="1"/>
  <c r="Y95" i="1"/>
  <c r="Y85" i="1"/>
  <c r="Y83" i="1"/>
  <c r="Y82" i="1"/>
  <c r="Y80" i="1"/>
  <c r="Y81" i="1"/>
  <c r="Y52" i="1"/>
  <c r="Y49" i="1"/>
  <c r="Y42" i="1"/>
  <c r="Y55" i="1"/>
  <c r="Y48" i="1"/>
  <c r="Y33" i="1"/>
  <c r="Y35" i="1"/>
  <c r="Y54" i="1"/>
  <c r="Y39" i="1"/>
  <c r="Y56" i="1"/>
  <c r="Y46" i="1"/>
  <c r="Y43" i="1"/>
  <c r="Y36" i="1"/>
  <c r="Y30" i="1"/>
  <c r="Y31" i="1"/>
  <c r="Y34" i="1"/>
  <c r="Y57" i="1"/>
  <c r="Y51" i="1"/>
  <c r="Y45" i="1"/>
  <c r="Y44" i="1"/>
  <c r="Y38" i="1"/>
  <c r="Y32" i="1"/>
  <c r="Y53" i="1"/>
  <c r="Y41" i="1"/>
  <c r="Y40" i="1"/>
  <c r="Y47" i="1"/>
  <c r="Y37" i="1"/>
  <c r="Y50" i="1"/>
  <c r="Y696" i="1"/>
  <c r="Y692" i="1"/>
  <c r="Y695" i="1"/>
  <c r="Y694" i="1"/>
  <c r="Y693" i="1"/>
  <c r="Y697" i="1"/>
  <c r="D3" i="5"/>
  <c r="D3" i="6"/>
  <c r="Y2" i="1"/>
  <c r="Y23" i="1"/>
  <c r="Y224" i="1"/>
  <c r="Y395" i="1"/>
  <c r="Y568" i="1"/>
  <c r="Y59" i="1"/>
  <c r="Y225" i="1"/>
  <c r="Y402" i="1"/>
  <c r="Y569" i="1"/>
  <c r="Y67" i="1"/>
  <c r="Y254" i="1"/>
  <c r="Y403" i="1"/>
  <c r="Y576" i="1"/>
  <c r="Y128" i="1"/>
  <c r="Y287" i="1"/>
  <c r="Y435" i="1"/>
  <c r="Y688" i="1"/>
  <c r="Y129" i="1"/>
  <c r="Y288" i="1"/>
  <c r="Y442" i="1"/>
  <c r="Y710" i="1"/>
  <c r="Y137" i="1"/>
  <c r="Y376" i="1"/>
  <c r="Y528" i="1"/>
  <c r="Y711" i="1"/>
  <c r="Y380" i="1"/>
  <c r="Y718" i="1"/>
  <c r="Y138" i="1"/>
  <c r="Y529" i="1"/>
  <c r="Y15" i="1"/>
  <c r="Y209" i="1"/>
  <c r="Y394" i="1"/>
  <c r="Y561" i="1"/>
  <c r="Y68" i="1"/>
  <c r="Y153" i="1"/>
  <c r="Y255" i="1"/>
  <c r="Y384" i="1"/>
  <c r="Y410" i="1"/>
  <c r="Y536" i="1"/>
  <c r="Y592" i="1"/>
  <c r="Y719" i="1"/>
  <c r="Y8" i="1"/>
  <c r="Y73" i="1"/>
  <c r="Y154" i="1"/>
  <c r="Y270" i="1"/>
  <c r="Y385" i="1"/>
  <c r="Y426" i="1"/>
  <c r="Y537" i="1"/>
  <c r="Y593" i="1"/>
  <c r="Y13" i="1"/>
  <c r="Y74" i="1"/>
  <c r="Y207" i="1"/>
  <c r="Y281" i="1"/>
  <c r="Y386" i="1"/>
  <c r="Y427" i="1"/>
  <c r="Y544" i="1"/>
  <c r="Y680" i="1"/>
  <c r="Y14" i="1"/>
  <c r="Y127" i="1"/>
  <c r="Y208" i="1"/>
  <c r="Y286" i="1"/>
  <c r="Y387" i="1"/>
  <c r="Y434" i="1"/>
  <c r="Y560" i="1"/>
  <c r="Y681" i="1"/>
  <c r="Y726" i="1"/>
  <c r="Y24" i="1"/>
  <c r="Y75" i="1"/>
  <c r="Y143" i="1"/>
  <c r="Y217" i="1"/>
  <c r="Y271" i="1"/>
  <c r="Y377" i="1"/>
  <c r="Y388" i="1"/>
  <c r="Y411" i="1"/>
  <c r="Y443" i="1"/>
  <c r="Y545" i="1"/>
  <c r="Y577" i="1"/>
  <c r="Y689" i="1"/>
  <c r="Y727" i="1"/>
  <c r="Y29" i="1"/>
  <c r="Y121" i="1"/>
  <c r="Y144" i="1"/>
  <c r="Y218" i="1"/>
  <c r="Y272" i="1"/>
  <c r="Y378" i="1"/>
  <c r="Y392" i="1"/>
  <c r="Y418" i="1"/>
  <c r="Y520" i="1"/>
  <c r="Y552" i="1"/>
  <c r="Y584" i="1"/>
  <c r="Y702" i="1"/>
  <c r="Y734" i="1"/>
  <c r="Y7" i="1"/>
  <c r="Y58" i="1"/>
  <c r="Y122" i="1"/>
  <c r="Y145" i="1"/>
  <c r="Y223" i="1"/>
  <c r="Y280" i="1"/>
  <c r="Y379" i="1"/>
  <c r="Y393" i="1"/>
  <c r="Y419" i="1"/>
  <c r="Y521" i="1"/>
  <c r="Y553" i="1"/>
  <c r="Y585" i="1"/>
  <c r="Y703" i="1"/>
  <c r="Y735" i="1"/>
  <c r="Y396" i="1"/>
  <c r="Y404" i="1"/>
  <c r="Y412" i="1"/>
  <c r="Y420" i="1"/>
  <c r="Y428" i="1"/>
  <c r="Y436" i="1"/>
  <c r="Y514" i="1"/>
  <c r="Y522" i="1"/>
  <c r="Y530" i="1"/>
  <c r="Y538" i="1"/>
  <c r="Y546" i="1"/>
  <c r="Y554" i="1"/>
  <c r="Y562" i="1"/>
  <c r="Y570" i="1"/>
  <c r="Y578" i="1"/>
  <c r="Y586" i="1"/>
  <c r="Y674" i="1"/>
  <c r="Y682" i="1"/>
  <c r="Y690" i="1"/>
  <c r="Y704" i="1"/>
  <c r="Y712" i="1"/>
  <c r="Y720" i="1"/>
  <c r="Y728" i="1"/>
  <c r="Y736" i="1"/>
  <c r="Y16" i="1"/>
  <c r="Y130" i="1"/>
  <c r="Y210" i="1"/>
  <c r="Y273" i="1"/>
  <c r="Y381" i="1"/>
  <c r="Y397" i="1"/>
  <c r="Y413" i="1"/>
  <c r="Y429" i="1"/>
  <c r="Y515" i="1"/>
  <c r="Y531" i="1"/>
  <c r="Y547" i="1"/>
  <c r="Y563" i="1"/>
  <c r="Y579" i="1"/>
  <c r="Y683" i="1"/>
  <c r="Y729" i="1"/>
  <c r="Y21" i="1"/>
  <c r="Y278" i="1"/>
  <c r="Y390" i="1"/>
  <c r="Y414" i="1"/>
  <c r="Y430" i="1"/>
  <c r="Y516" i="1"/>
  <c r="Y540" i="1"/>
  <c r="Y556" i="1"/>
  <c r="Y580" i="1"/>
  <c r="Y676" i="1"/>
  <c r="Y698" i="1"/>
  <c r="Y714" i="1"/>
  <c r="Y722" i="1"/>
  <c r="Y738" i="1"/>
  <c r="Y60" i="1"/>
  <c r="Y76" i="1"/>
  <c r="Y146" i="1"/>
  <c r="Y226" i="1"/>
  <c r="Y289" i="1"/>
  <c r="Y389" i="1"/>
  <c r="Y405" i="1"/>
  <c r="Y421" i="1"/>
  <c r="Y437" i="1"/>
  <c r="Y523" i="1"/>
  <c r="Y539" i="1"/>
  <c r="Y555" i="1"/>
  <c r="Y571" i="1"/>
  <c r="Y587" i="1"/>
  <c r="Y675" i="1"/>
  <c r="Y691" i="1"/>
  <c r="Y705" i="1"/>
  <c r="Y713" i="1"/>
  <c r="Y721" i="1"/>
  <c r="Y737" i="1"/>
  <c r="Y5" i="1"/>
  <c r="Y65" i="1"/>
  <c r="Y119" i="1"/>
  <c r="Y135" i="1"/>
  <c r="Y151" i="1"/>
  <c r="Y215" i="1"/>
  <c r="Y252" i="1"/>
  <c r="Y374" i="1"/>
  <c r="Y382" i="1"/>
  <c r="Y398" i="1"/>
  <c r="Y406" i="1"/>
  <c r="Y422" i="1"/>
  <c r="Y438" i="1"/>
  <c r="Y524" i="1"/>
  <c r="Y532" i="1"/>
  <c r="Y548" i="1"/>
  <c r="Y564" i="1"/>
  <c r="Y572" i="1"/>
  <c r="Y588" i="1"/>
  <c r="Y684" i="1"/>
  <c r="Y706" i="1"/>
  <c r="Y730" i="1"/>
  <c r="Y6" i="1"/>
  <c r="Y22" i="1"/>
  <c r="Y66" i="1"/>
  <c r="Y120" i="1"/>
  <c r="Y136" i="1"/>
  <c r="Y152" i="1"/>
  <c r="Y216" i="1"/>
  <c r="Y253" i="1"/>
  <c r="Y279" i="1"/>
  <c r="Y375" i="1"/>
  <c r="Y383" i="1"/>
  <c r="Y391" i="1"/>
  <c r="Y399" i="1"/>
  <c r="Y407" i="1"/>
  <c r="Y415" i="1"/>
  <c r="Y423" i="1"/>
  <c r="Y431" i="1"/>
  <c r="Y439" i="1"/>
  <c r="Y517" i="1"/>
  <c r="Y525" i="1"/>
  <c r="Y533" i="1"/>
  <c r="Y541" i="1"/>
  <c r="Y549" i="1"/>
  <c r="Y557" i="1"/>
  <c r="Y565" i="1"/>
  <c r="Y573" i="1"/>
  <c r="Y581" i="1"/>
  <c r="Y589" i="1"/>
  <c r="Y677" i="1"/>
  <c r="Y685" i="1"/>
  <c r="Y699" i="1"/>
  <c r="Y707" i="1"/>
  <c r="Y715" i="1"/>
  <c r="Y723" i="1"/>
  <c r="Y731" i="1"/>
  <c r="Y739" i="1"/>
  <c r="Y400" i="1"/>
  <c r="Y408" i="1"/>
  <c r="Y416" i="1"/>
  <c r="Y424" i="1"/>
  <c r="Y432" i="1"/>
  <c r="Y440" i="1"/>
  <c r="Y518" i="1"/>
  <c r="Y526" i="1"/>
  <c r="Y534" i="1"/>
  <c r="Y542" i="1"/>
  <c r="Y550" i="1"/>
  <c r="Y558" i="1"/>
  <c r="Y566" i="1"/>
  <c r="Y574" i="1"/>
  <c r="Y582" i="1"/>
  <c r="Y590" i="1"/>
  <c r="Y678" i="1"/>
  <c r="Y686" i="1"/>
  <c r="Y700" i="1"/>
  <c r="Y708" i="1"/>
  <c r="Y716" i="1"/>
  <c r="Y724" i="1"/>
  <c r="Y732" i="1"/>
  <c r="Y740" i="1"/>
  <c r="Y401" i="1"/>
  <c r="Y409" i="1"/>
  <c r="Y417" i="1"/>
  <c r="Y425" i="1"/>
  <c r="Y433" i="1"/>
  <c r="Y441" i="1"/>
  <c r="Y519" i="1"/>
  <c r="Y527" i="1"/>
  <c r="Y535" i="1"/>
  <c r="Y543" i="1"/>
  <c r="Y551" i="1"/>
  <c r="Y559" i="1"/>
  <c r="Y567" i="1"/>
  <c r="Y575" i="1"/>
  <c r="Y583" i="1"/>
  <c r="Y591" i="1"/>
  <c r="Y679" i="1"/>
  <c r="Y687" i="1"/>
  <c r="Y701" i="1"/>
  <c r="Y709" i="1"/>
  <c r="Y717" i="1"/>
  <c r="Y725" i="1"/>
  <c r="Y733" i="1"/>
  <c r="Y741" i="1"/>
  <c r="Y10" i="1"/>
  <c r="Y18" i="1"/>
  <c r="Y26" i="1"/>
  <c r="Y62" i="1"/>
  <c r="Y70" i="1"/>
  <c r="Y78" i="1"/>
  <c r="Y124" i="1"/>
  <c r="Y132" i="1"/>
  <c r="Y140" i="1"/>
  <c r="Y148" i="1"/>
  <c r="Y156" i="1"/>
  <c r="Y220" i="1"/>
  <c r="Y249" i="1"/>
  <c r="Y257" i="1"/>
  <c r="Y275" i="1"/>
  <c r="Y283" i="1"/>
  <c r="Y291" i="1"/>
  <c r="Y3" i="1"/>
  <c r="Y11" i="1"/>
  <c r="Y19" i="1"/>
  <c r="Y27" i="1"/>
  <c r="Y63" i="1"/>
  <c r="Y71" i="1"/>
  <c r="Y79" i="1"/>
  <c r="Y125" i="1"/>
  <c r="Y133" i="1"/>
  <c r="Y141" i="1"/>
  <c r="Y149" i="1"/>
  <c r="Y157" i="1"/>
  <c r="Y213" i="1"/>
  <c r="Y221" i="1"/>
  <c r="Y250" i="1"/>
  <c r="Y268" i="1"/>
  <c r="Y276" i="1"/>
  <c r="Y284" i="1"/>
  <c r="Y292" i="1"/>
  <c r="Y4" i="1"/>
  <c r="Y12" i="1"/>
  <c r="Y20" i="1"/>
  <c r="Y28" i="1"/>
  <c r="Y64" i="1"/>
  <c r="Y72" i="1"/>
  <c r="Y118" i="1"/>
  <c r="Y126" i="1"/>
  <c r="Y134" i="1"/>
  <c r="Y142" i="1"/>
  <c r="Y150" i="1"/>
  <c r="Y206" i="1"/>
  <c r="Y214" i="1"/>
  <c r="Y222" i="1"/>
  <c r="Y251" i="1"/>
  <c r="Y269" i="1"/>
  <c r="Y277" i="1"/>
  <c r="Y285" i="1"/>
  <c r="Y9" i="1"/>
  <c r="Y17" i="1"/>
  <c r="Y25" i="1"/>
  <c r="Y61" i="1"/>
  <c r="Y69" i="1"/>
  <c r="Y77" i="1"/>
  <c r="Y123" i="1"/>
  <c r="Y131" i="1"/>
  <c r="Y139" i="1"/>
  <c r="Y147" i="1"/>
  <c r="Y155" i="1"/>
  <c r="Y211" i="1"/>
  <c r="Y219" i="1"/>
  <c r="Y248" i="1"/>
  <c r="Y256" i="1"/>
  <c r="Y274" i="1"/>
  <c r="Y282" i="1"/>
  <c r="Y290" i="1"/>
  <c r="Y212" i="1"/>
  <c r="A138" i="2"/>
  <c r="A80" i="2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8" i="1"/>
  <c r="P19" i="1"/>
  <c r="P20" i="1"/>
  <c r="P21" i="1"/>
  <c r="P22" i="1"/>
  <c r="P23" i="1"/>
  <c r="P24" i="1"/>
  <c r="P25" i="1"/>
  <c r="P26" i="1"/>
  <c r="P27" i="1"/>
  <c r="P28" i="1"/>
  <c r="P29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AQ593" i="1"/>
  <c r="P593" i="1" s="1"/>
  <c r="AQ592" i="1"/>
  <c r="P592" i="1" s="1"/>
  <c r="AQ591" i="1"/>
  <c r="P591" i="1" s="1"/>
  <c r="AQ590" i="1"/>
  <c r="P590" i="1" s="1"/>
  <c r="AQ589" i="1"/>
  <c r="P589" i="1" s="1"/>
  <c r="AQ588" i="1"/>
  <c r="P588" i="1" s="1"/>
  <c r="AQ587" i="1"/>
  <c r="P587" i="1" s="1"/>
  <c r="AQ586" i="1"/>
  <c r="P586" i="1" s="1"/>
  <c r="AQ585" i="1"/>
  <c r="P585" i="1" s="1"/>
  <c r="AQ584" i="1"/>
  <c r="P584" i="1" s="1"/>
  <c r="AQ583" i="1"/>
  <c r="P583" i="1" s="1"/>
  <c r="AQ582" i="1"/>
  <c r="P582" i="1" s="1"/>
  <c r="AQ581" i="1"/>
  <c r="P581" i="1" s="1"/>
  <c r="AQ580" i="1"/>
  <c r="P580" i="1" s="1"/>
  <c r="AQ579" i="1"/>
  <c r="P579" i="1" s="1"/>
  <c r="AQ578" i="1"/>
  <c r="P578" i="1" s="1"/>
  <c r="AQ577" i="1"/>
  <c r="P577" i="1" s="1"/>
  <c r="AQ576" i="1"/>
  <c r="P576" i="1" s="1"/>
  <c r="AQ575" i="1"/>
  <c r="P575" i="1" s="1"/>
  <c r="AQ574" i="1"/>
  <c r="P574" i="1" s="1"/>
  <c r="AQ573" i="1"/>
  <c r="P573" i="1" s="1"/>
  <c r="AQ572" i="1"/>
  <c r="P572" i="1" s="1"/>
  <c r="AQ571" i="1"/>
  <c r="P571" i="1" s="1"/>
  <c r="AQ570" i="1"/>
  <c r="P570" i="1" s="1"/>
  <c r="AQ569" i="1"/>
  <c r="P569" i="1" s="1"/>
  <c r="AQ568" i="1"/>
  <c r="P568" i="1" s="1"/>
  <c r="AQ567" i="1"/>
  <c r="P567" i="1" s="1"/>
  <c r="AQ566" i="1"/>
  <c r="P566" i="1" s="1"/>
  <c r="AQ565" i="1"/>
  <c r="P565" i="1" s="1"/>
  <c r="AQ564" i="1"/>
  <c r="P564" i="1" s="1"/>
  <c r="AQ563" i="1"/>
  <c r="P563" i="1" s="1"/>
  <c r="AQ562" i="1"/>
  <c r="P562" i="1" s="1"/>
  <c r="AQ561" i="1"/>
  <c r="P561" i="1" s="1"/>
  <c r="AQ560" i="1"/>
  <c r="P560" i="1" s="1"/>
  <c r="AQ559" i="1"/>
  <c r="P559" i="1" s="1"/>
  <c r="AQ558" i="1"/>
  <c r="P558" i="1" s="1"/>
  <c r="AQ557" i="1"/>
  <c r="P557" i="1" s="1"/>
  <c r="AQ556" i="1"/>
  <c r="P556" i="1" s="1"/>
  <c r="AQ555" i="1"/>
  <c r="P555" i="1" s="1"/>
  <c r="AQ554" i="1"/>
  <c r="P554" i="1" s="1"/>
  <c r="AQ553" i="1"/>
  <c r="P553" i="1" s="1"/>
  <c r="AQ552" i="1"/>
  <c r="P552" i="1" s="1"/>
  <c r="AQ551" i="1"/>
  <c r="P551" i="1" s="1"/>
  <c r="AQ550" i="1"/>
  <c r="P550" i="1" s="1"/>
  <c r="AQ549" i="1"/>
  <c r="P549" i="1" s="1"/>
  <c r="AQ548" i="1"/>
  <c r="P548" i="1" s="1"/>
  <c r="AQ547" i="1"/>
  <c r="P547" i="1" s="1"/>
  <c r="AQ546" i="1"/>
  <c r="P546" i="1" s="1"/>
  <c r="AQ545" i="1"/>
  <c r="P545" i="1" s="1"/>
  <c r="AQ544" i="1"/>
  <c r="P544" i="1" s="1"/>
  <c r="AQ543" i="1"/>
  <c r="P543" i="1" s="1"/>
  <c r="AQ542" i="1"/>
  <c r="P542" i="1" s="1"/>
  <c r="AQ541" i="1"/>
  <c r="P541" i="1" s="1"/>
  <c r="AQ540" i="1"/>
  <c r="P540" i="1" s="1"/>
  <c r="AQ539" i="1"/>
  <c r="P539" i="1" s="1"/>
  <c r="AQ538" i="1"/>
  <c r="P538" i="1" s="1"/>
  <c r="AQ537" i="1"/>
  <c r="P537" i="1" s="1"/>
  <c r="AQ536" i="1"/>
  <c r="P536" i="1" s="1"/>
  <c r="AQ535" i="1"/>
  <c r="P535" i="1" s="1"/>
  <c r="AQ534" i="1"/>
  <c r="P534" i="1" s="1"/>
  <c r="AQ533" i="1"/>
  <c r="P533" i="1" s="1"/>
  <c r="AQ532" i="1"/>
  <c r="P532" i="1" s="1"/>
  <c r="AQ531" i="1"/>
  <c r="P531" i="1" s="1"/>
  <c r="AQ530" i="1"/>
  <c r="P530" i="1" s="1"/>
  <c r="AQ529" i="1"/>
  <c r="P529" i="1" s="1"/>
  <c r="AQ528" i="1"/>
  <c r="P528" i="1" s="1"/>
  <c r="AQ527" i="1"/>
  <c r="P527" i="1" s="1"/>
  <c r="AQ526" i="1"/>
  <c r="P526" i="1" s="1"/>
  <c r="AQ525" i="1"/>
  <c r="P525" i="1" s="1"/>
  <c r="AQ524" i="1"/>
  <c r="P524" i="1" s="1"/>
  <c r="AQ523" i="1"/>
  <c r="P523" i="1" s="1"/>
  <c r="AQ522" i="1"/>
  <c r="P522" i="1" s="1"/>
  <c r="AQ521" i="1"/>
  <c r="P521" i="1" s="1"/>
  <c r="AQ520" i="1"/>
  <c r="P520" i="1" s="1"/>
  <c r="AQ519" i="1"/>
  <c r="P519" i="1" s="1"/>
  <c r="AQ518" i="1"/>
  <c r="P518" i="1" s="1"/>
  <c r="AQ517" i="1"/>
  <c r="P517" i="1" s="1"/>
  <c r="AQ516" i="1"/>
  <c r="P516" i="1" s="1"/>
  <c r="AQ515" i="1"/>
  <c r="P515" i="1" s="1"/>
  <c r="AQ514" i="1"/>
  <c r="P514" i="1" s="1"/>
  <c r="AQ443" i="1"/>
  <c r="P443" i="1" s="1"/>
  <c r="AQ442" i="1"/>
  <c r="P442" i="1" s="1"/>
  <c r="AQ441" i="1"/>
  <c r="P441" i="1" s="1"/>
  <c r="AQ440" i="1"/>
  <c r="P440" i="1" s="1"/>
  <c r="AQ439" i="1"/>
  <c r="P439" i="1" s="1"/>
  <c r="AQ438" i="1"/>
  <c r="P438" i="1" s="1"/>
  <c r="AQ437" i="1"/>
  <c r="P437" i="1" s="1"/>
  <c r="AQ436" i="1"/>
  <c r="P436" i="1" s="1"/>
  <c r="AQ435" i="1"/>
  <c r="P435" i="1" s="1"/>
  <c r="AQ434" i="1"/>
  <c r="P434" i="1" s="1"/>
  <c r="AQ433" i="1"/>
  <c r="P433" i="1" s="1"/>
  <c r="AQ432" i="1"/>
  <c r="P432" i="1" s="1"/>
  <c r="AQ431" i="1"/>
  <c r="P431" i="1" s="1"/>
  <c r="AQ430" i="1"/>
  <c r="P430" i="1" s="1"/>
  <c r="AQ429" i="1"/>
  <c r="P429" i="1" s="1"/>
  <c r="AQ428" i="1"/>
  <c r="P428" i="1" s="1"/>
  <c r="AQ427" i="1"/>
  <c r="P427" i="1" s="1"/>
  <c r="AQ426" i="1"/>
  <c r="P426" i="1" s="1"/>
  <c r="AQ425" i="1"/>
  <c r="P425" i="1" s="1"/>
  <c r="AQ424" i="1"/>
  <c r="P424" i="1" s="1"/>
  <c r="AQ423" i="1"/>
  <c r="P423" i="1" s="1"/>
  <c r="AQ422" i="1"/>
  <c r="P422" i="1" s="1"/>
  <c r="AQ421" i="1"/>
  <c r="P421" i="1" s="1"/>
  <c r="AQ420" i="1"/>
  <c r="P420" i="1" s="1"/>
  <c r="AQ419" i="1"/>
  <c r="P419" i="1" s="1"/>
  <c r="AQ418" i="1"/>
  <c r="P418" i="1" s="1"/>
  <c r="AQ417" i="1"/>
  <c r="P417" i="1" s="1"/>
  <c r="AQ416" i="1"/>
  <c r="P416" i="1" s="1"/>
  <c r="AQ415" i="1"/>
  <c r="P415" i="1" s="1"/>
  <c r="AQ414" i="1"/>
  <c r="P414" i="1" s="1"/>
  <c r="AQ413" i="1"/>
  <c r="P413" i="1" s="1"/>
  <c r="AQ412" i="1"/>
  <c r="P412" i="1" s="1"/>
  <c r="AQ411" i="1"/>
  <c r="P411" i="1" s="1"/>
  <c r="AQ410" i="1"/>
  <c r="P410" i="1" s="1"/>
  <c r="AQ409" i="1"/>
  <c r="P409" i="1" s="1"/>
  <c r="AQ408" i="1"/>
  <c r="P408" i="1" s="1"/>
  <c r="AQ407" i="1"/>
  <c r="P407" i="1" s="1"/>
  <c r="AQ406" i="1"/>
  <c r="P406" i="1" s="1"/>
  <c r="AQ405" i="1"/>
  <c r="P405" i="1" s="1"/>
  <c r="AQ404" i="1"/>
  <c r="P404" i="1" s="1"/>
  <c r="AQ403" i="1"/>
  <c r="P403" i="1" s="1"/>
  <c r="AQ402" i="1"/>
  <c r="P402" i="1" s="1"/>
  <c r="AQ401" i="1"/>
  <c r="P401" i="1" s="1"/>
  <c r="AQ400" i="1"/>
  <c r="P400" i="1" s="1"/>
  <c r="AQ399" i="1"/>
  <c r="P399" i="1" s="1"/>
  <c r="AQ398" i="1"/>
  <c r="P398" i="1" s="1"/>
  <c r="AQ397" i="1"/>
  <c r="P397" i="1" s="1"/>
  <c r="AQ396" i="1"/>
  <c r="P396" i="1" s="1"/>
  <c r="AQ395" i="1"/>
  <c r="P395" i="1" s="1"/>
  <c r="AQ394" i="1"/>
  <c r="P394" i="1" s="1"/>
  <c r="AQ393" i="1"/>
  <c r="P393" i="1" s="1"/>
  <c r="AQ392" i="1"/>
  <c r="P392" i="1" s="1"/>
  <c r="AQ391" i="1"/>
  <c r="P391" i="1" s="1"/>
  <c r="AQ390" i="1"/>
  <c r="P390" i="1" s="1"/>
  <c r="AQ389" i="1"/>
  <c r="P389" i="1" s="1"/>
  <c r="AQ388" i="1"/>
  <c r="P388" i="1" s="1"/>
  <c r="AQ387" i="1"/>
  <c r="P387" i="1" s="1"/>
  <c r="AQ386" i="1"/>
  <c r="P386" i="1" s="1"/>
  <c r="AQ385" i="1"/>
  <c r="P385" i="1" s="1"/>
  <c r="AQ384" i="1"/>
  <c r="P384" i="1" s="1"/>
  <c r="AQ383" i="1"/>
  <c r="P383" i="1" s="1"/>
  <c r="AQ382" i="1"/>
  <c r="P382" i="1" s="1"/>
  <c r="AQ381" i="1"/>
  <c r="P381" i="1" s="1"/>
  <c r="AQ380" i="1"/>
  <c r="P380" i="1" s="1"/>
  <c r="AQ379" i="1"/>
  <c r="P379" i="1" s="1"/>
  <c r="AQ378" i="1"/>
  <c r="P378" i="1" s="1"/>
  <c r="AQ377" i="1"/>
  <c r="P377" i="1" s="1"/>
  <c r="AQ376" i="1"/>
  <c r="P376" i="1" s="1"/>
  <c r="AQ375" i="1"/>
  <c r="P375" i="1" s="1"/>
  <c r="AQ374" i="1"/>
  <c r="P374" i="1" s="1"/>
  <c r="AQ345" i="1"/>
  <c r="P345" i="1" s="1"/>
  <c r="AQ344" i="1"/>
  <c r="P344" i="1" s="1"/>
  <c r="AQ343" i="1"/>
  <c r="P343" i="1" s="1"/>
  <c r="AQ342" i="1"/>
  <c r="P342" i="1" s="1"/>
  <c r="AQ341" i="1"/>
  <c r="P341" i="1" s="1"/>
  <c r="AQ340" i="1"/>
  <c r="P340" i="1" s="1"/>
  <c r="AQ339" i="1"/>
  <c r="P339" i="1" s="1"/>
  <c r="AQ338" i="1"/>
  <c r="P338" i="1" s="1"/>
  <c r="AQ337" i="1"/>
  <c r="P337" i="1" s="1"/>
  <c r="AQ336" i="1"/>
  <c r="P336" i="1" s="1"/>
  <c r="AQ335" i="1"/>
  <c r="P335" i="1" s="1"/>
  <c r="AQ334" i="1"/>
  <c r="P334" i="1" s="1"/>
  <c r="AQ333" i="1"/>
  <c r="P333" i="1" s="1"/>
  <c r="AQ332" i="1"/>
  <c r="P332" i="1" s="1"/>
  <c r="AQ331" i="1"/>
  <c r="P331" i="1" s="1"/>
  <c r="AQ330" i="1"/>
  <c r="P330" i="1" s="1"/>
  <c r="AQ329" i="1"/>
  <c r="P329" i="1" s="1"/>
  <c r="AQ328" i="1"/>
  <c r="P328" i="1" s="1"/>
  <c r="AQ327" i="1"/>
  <c r="P327" i="1" s="1"/>
  <c r="AQ326" i="1"/>
  <c r="P326" i="1" s="1"/>
  <c r="AQ325" i="1"/>
  <c r="P325" i="1" s="1"/>
  <c r="AQ324" i="1"/>
  <c r="P324" i="1" s="1"/>
  <c r="AQ323" i="1"/>
  <c r="P323" i="1" s="1"/>
  <c r="AQ322" i="1"/>
  <c r="P322" i="1" s="1"/>
  <c r="AQ321" i="1"/>
  <c r="P321" i="1" s="1"/>
  <c r="AQ320" i="1"/>
  <c r="P320" i="1" s="1"/>
  <c r="AQ319" i="1"/>
  <c r="P319" i="1" s="1"/>
  <c r="AQ318" i="1"/>
  <c r="P318" i="1" s="1"/>
  <c r="AQ292" i="1"/>
  <c r="P292" i="1" s="1"/>
  <c r="AQ291" i="1"/>
  <c r="P291" i="1" s="1"/>
  <c r="AQ290" i="1"/>
  <c r="P290" i="1" s="1"/>
  <c r="AQ289" i="1"/>
  <c r="P289" i="1" s="1"/>
  <c r="AQ288" i="1"/>
  <c r="P288" i="1" s="1"/>
  <c r="AQ287" i="1"/>
  <c r="P287" i="1" s="1"/>
  <c r="AQ286" i="1"/>
  <c r="P286" i="1" s="1"/>
  <c r="AQ285" i="1"/>
  <c r="P285" i="1" s="1"/>
  <c r="AQ284" i="1"/>
  <c r="P284" i="1" s="1"/>
  <c r="AQ283" i="1"/>
  <c r="P283" i="1" s="1"/>
  <c r="AQ282" i="1"/>
  <c r="P282" i="1" s="1"/>
  <c r="AQ281" i="1"/>
  <c r="P281" i="1" s="1"/>
  <c r="AQ280" i="1"/>
  <c r="P280" i="1" s="1"/>
  <c r="AQ279" i="1"/>
  <c r="P279" i="1" s="1"/>
  <c r="AQ278" i="1"/>
  <c r="P278" i="1" s="1"/>
  <c r="AQ277" i="1"/>
  <c r="P277" i="1" s="1"/>
  <c r="AQ276" i="1"/>
  <c r="P276" i="1" s="1"/>
  <c r="AQ275" i="1"/>
  <c r="P275" i="1" s="1"/>
  <c r="AQ274" i="1"/>
  <c r="P274" i="1" s="1"/>
  <c r="AQ273" i="1"/>
  <c r="P273" i="1" s="1"/>
  <c r="AQ272" i="1"/>
  <c r="P272" i="1" s="1"/>
  <c r="AQ271" i="1"/>
  <c r="P271" i="1" s="1"/>
  <c r="AQ270" i="1"/>
  <c r="P270" i="1" s="1"/>
  <c r="AQ269" i="1"/>
  <c r="P269" i="1" s="1"/>
  <c r="AQ268" i="1"/>
  <c r="P268" i="1" s="1"/>
  <c r="AQ257" i="1"/>
  <c r="P257" i="1" s="1"/>
  <c r="AQ256" i="1"/>
  <c r="P256" i="1" s="1"/>
  <c r="AQ255" i="1"/>
  <c r="P255" i="1" s="1"/>
  <c r="AQ254" i="1"/>
  <c r="P254" i="1" s="1"/>
  <c r="AQ253" i="1"/>
  <c r="P253" i="1" s="1"/>
  <c r="AQ252" i="1"/>
  <c r="P252" i="1" s="1"/>
  <c r="AQ251" i="1"/>
  <c r="P251" i="1" s="1"/>
  <c r="AQ250" i="1"/>
  <c r="P250" i="1" s="1"/>
  <c r="AQ249" i="1"/>
  <c r="P249" i="1" s="1"/>
  <c r="AQ248" i="1"/>
  <c r="P248" i="1" s="1"/>
  <c r="AQ226" i="1"/>
  <c r="P226" i="1" s="1"/>
  <c r="AQ225" i="1"/>
  <c r="P225" i="1" s="1"/>
  <c r="AQ224" i="1"/>
  <c r="P224" i="1" s="1"/>
  <c r="AQ223" i="1"/>
  <c r="P223" i="1" s="1"/>
  <c r="AQ222" i="1"/>
  <c r="P222" i="1" s="1"/>
  <c r="AQ221" i="1"/>
  <c r="P221" i="1" s="1"/>
  <c r="AQ220" i="1"/>
  <c r="P220" i="1" s="1"/>
  <c r="AQ219" i="1"/>
  <c r="P219" i="1" s="1"/>
  <c r="AQ218" i="1"/>
  <c r="P218" i="1" s="1"/>
  <c r="AQ217" i="1"/>
  <c r="P217" i="1" s="1"/>
  <c r="AQ216" i="1"/>
  <c r="P216" i="1" s="1"/>
  <c r="AQ215" i="1"/>
  <c r="P215" i="1" s="1"/>
  <c r="AQ214" i="1"/>
  <c r="P214" i="1" s="1"/>
  <c r="AQ213" i="1"/>
  <c r="P213" i="1" s="1"/>
  <c r="AQ212" i="1"/>
  <c r="P212" i="1" s="1"/>
  <c r="AQ211" i="1"/>
  <c r="P211" i="1" s="1"/>
  <c r="AQ210" i="1"/>
  <c r="P210" i="1" s="1"/>
  <c r="AQ209" i="1"/>
  <c r="P209" i="1" s="1"/>
  <c r="AQ208" i="1"/>
  <c r="P208" i="1" s="1"/>
  <c r="AQ207" i="1"/>
  <c r="P207" i="1" s="1"/>
  <c r="AQ206" i="1"/>
  <c r="P206" i="1" s="1"/>
  <c r="AQ157" i="1"/>
  <c r="P157" i="1" s="1"/>
  <c r="AQ156" i="1"/>
  <c r="P156" i="1" s="1"/>
  <c r="AQ155" i="1"/>
  <c r="P155" i="1" s="1"/>
  <c r="AQ154" i="1"/>
  <c r="P154" i="1" s="1"/>
  <c r="AQ153" i="1"/>
  <c r="P153" i="1" s="1"/>
  <c r="AQ152" i="1"/>
  <c r="P152" i="1" s="1"/>
  <c r="AQ151" i="1"/>
  <c r="P151" i="1" s="1"/>
  <c r="AQ150" i="1"/>
  <c r="P150" i="1" s="1"/>
  <c r="AQ149" i="1"/>
  <c r="P149" i="1" s="1"/>
  <c r="AQ148" i="1"/>
  <c r="P148" i="1" s="1"/>
  <c r="AQ147" i="1"/>
  <c r="P147" i="1" s="1"/>
  <c r="AQ146" i="1"/>
  <c r="P146" i="1" s="1"/>
  <c r="AQ145" i="1"/>
  <c r="P145" i="1" s="1"/>
  <c r="AQ144" i="1"/>
  <c r="P144" i="1" s="1"/>
  <c r="AQ143" i="1"/>
  <c r="P143" i="1" s="1"/>
  <c r="AQ142" i="1"/>
  <c r="P142" i="1" s="1"/>
  <c r="AQ141" i="1"/>
  <c r="P141" i="1" s="1"/>
  <c r="AQ140" i="1"/>
  <c r="P140" i="1" s="1"/>
  <c r="AQ139" i="1"/>
  <c r="P139" i="1" s="1"/>
  <c r="AQ138" i="1"/>
  <c r="P138" i="1" s="1"/>
  <c r="AQ137" i="1"/>
  <c r="P137" i="1" s="1"/>
  <c r="AQ136" i="1"/>
  <c r="P136" i="1" s="1"/>
  <c r="AQ135" i="1"/>
  <c r="P135" i="1" s="1"/>
  <c r="AQ134" i="1"/>
  <c r="P134" i="1" s="1"/>
  <c r="AQ133" i="1"/>
  <c r="P133" i="1" s="1"/>
  <c r="AQ132" i="1"/>
  <c r="P132" i="1" s="1"/>
  <c r="AQ131" i="1"/>
  <c r="P131" i="1" s="1"/>
  <c r="AQ130" i="1"/>
  <c r="P130" i="1" s="1"/>
  <c r="AQ129" i="1"/>
  <c r="P129" i="1" s="1"/>
  <c r="AQ128" i="1"/>
  <c r="P128" i="1" s="1"/>
  <c r="AQ127" i="1"/>
  <c r="P127" i="1" s="1"/>
  <c r="AQ126" i="1"/>
  <c r="P126" i="1" s="1"/>
  <c r="AQ125" i="1"/>
  <c r="P125" i="1" s="1"/>
  <c r="AQ124" i="1"/>
  <c r="P124" i="1" s="1"/>
  <c r="AQ123" i="1"/>
  <c r="P123" i="1" s="1"/>
  <c r="AQ122" i="1"/>
  <c r="P122" i="1" s="1"/>
  <c r="AQ121" i="1"/>
  <c r="P121" i="1" s="1"/>
  <c r="AQ120" i="1"/>
  <c r="P120" i="1" s="1"/>
  <c r="AQ119" i="1"/>
  <c r="P119" i="1" s="1"/>
  <c r="AQ118" i="1"/>
  <c r="P118" i="1" s="1"/>
  <c r="Q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8" i="1"/>
  <c r="Q19" i="1"/>
  <c r="Q20" i="1"/>
  <c r="Q21" i="1"/>
  <c r="Q22" i="1"/>
  <c r="Q23" i="1"/>
  <c r="Q24" i="1"/>
  <c r="Q25" i="1"/>
  <c r="Q26" i="1"/>
  <c r="Q27" i="1"/>
  <c r="Q28" i="1"/>
  <c r="Q29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7" i="1"/>
  <c r="Q78" i="1"/>
  <c r="Q79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48" i="1"/>
  <c r="Q249" i="1"/>
  <c r="Q250" i="1"/>
  <c r="Q251" i="1"/>
  <c r="Q252" i="1"/>
  <c r="Q253" i="1"/>
  <c r="Q254" i="1"/>
  <c r="Q255" i="1"/>
  <c r="Q256" i="1"/>
  <c r="Q25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M9" i="4"/>
  <c r="B6" i="3"/>
  <c r="A85" i="2"/>
  <c r="A82" i="2"/>
  <c r="A83" i="2"/>
  <c r="A86" i="2"/>
  <c r="C69" i="3"/>
  <c r="AQ6" i="4" l="1"/>
  <c r="AQ3" i="4"/>
  <c r="BF5" i="4"/>
  <c r="AQ8" i="4"/>
  <c r="AQ5" i="4"/>
  <c r="L75" i="3"/>
  <c r="J3" i="6" s="1"/>
  <c r="AQ4" i="4"/>
  <c r="J75" i="3"/>
  <c r="G3" i="6" s="1"/>
  <c r="D69" i="3"/>
  <c r="AW10" i="4" l="1"/>
  <c r="I70" i="3"/>
  <c r="G3" i="5"/>
  <c r="J3" i="5"/>
  <c r="A147" i="2"/>
  <c r="A69" i="2"/>
  <c r="A129" i="2"/>
  <c r="A130" i="2"/>
  <c r="A131" i="2"/>
  <c r="A68" i="2"/>
  <c r="A140" i="2"/>
  <c r="A135" i="2"/>
  <c r="A67" i="2"/>
  <c r="A128" i="2"/>
  <c r="A146" i="2"/>
  <c r="A127" i="2"/>
  <c r="A66" i="2"/>
  <c r="A65" i="2"/>
  <c r="A145" i="2"/>
  <c r="A142" i="2"/>
  <c r="A64" i="2"/>
  <c r="A132" i="2"/>
  <c r="A63" i="2"/>
  <c r="A126" i="2"/>
  <c r="A148" i="2"/>
  <c r="A125" i="2"/>
  <c r="A134" i="2"/>
  <c r="A133" i="2"/>
  <c r="A112" i="2"/>
  <c r="A79" i="2"/>
  <c r="A62" i="2"/>
  <c r="A144" i="2"/>
  <c r="A121" i="2"/>
  <c r="A122" i="2"/>
  <c r="A123" i="2"/>
  <c r="A124" i="2"/>
  <c r="AM76" i="1"/>
  <c r="A114" i="2"/>
  <c r="A115" i="2"/>
  <c r="A116" i="2"/>
  <c r="A117" i="2"/>
  <c r="A118" i="2"/>
  <c r="A106" i="2"/>
  <c r="A111" i="2"/>
  <c r="A113" i="2"/>
  <c r="A120" i="2"/>
  <c r="A70" i="2"/>
  <c r="A74" i="2"/>
  <c r="A61" i="2"/>
  <c r="A141" i="2"/>
  <c r="A143" i="2"/>
  <c r="A60" i="2"/>
  <c r="U116" i="1" l="1"/>
  <c r="U164" i="1"/>
  <c r="U162" i="1"/>
  <c r="U159" i="1"/>
  <c r="U160" i="1"/>
  <c r="U163" i="1"/>
  <c r="U158" i="1"/>
  <c r="U161" i="1"/>
  <c r="U165" i="1"/>
  <c r="AO160" i="1"/>
  <c r="AO164" i="1"/>
  <c r="AO165" i="1"/>
  <c r="AO162" i="1"/>
  <c r="AO159" i="1"/>
  <c r="AO163" i="1"/>
  <c r="AO161" i="1"/>
  <c r="AO158" i="1"/>
  <c r="V162" i="1"/>
  <c r="V159" i="1"/>
  <c r="W163" i="1"/>
  <c r="N163" i="1" s="1"/>
  <c r="G163" i="1" s="1"/>
  <c r="W158" i="1"/>
  <c r="N158" i="1" s="1"/>
  <c r="G158" i="1" s="1"/>
  <c r="V163" i="1"/>
  <c r="V158" i="1"/>
  <c r="W162" i="1"/>
  <c r="N162" i="1" s="1"/>
  <c r="G162" i="1" s="1"/>
  <c r="W159" i="1"/>
  <c r="N159" i="1" s="1"/>
  <c r="G159" i="1" s="1"/>
  <c r="AN163" i="1"/>
  <c r="AN159" i="1"/>
  <c r="X163" i="1"/>
  <c r="O163" i="1" s="1"/>
  <c r="F163" i="1" s="1"/>
  <c r="X158" i="1"/>
  <c r="O158" i="1" s="1"/>
  <c r="F158" i="1" s="1"/>
  <c r="X162" i="1"/>
  <c r="O162" i="1" s="1"/>
  <c r="F162" i="1" s="1"/>
  <c r="X159" i="1"/>
  <c r="O159" i="1" s="1"/>
  <c r="F159" i="1" s="1"/>
  <c r="Z116" i="1"/>
  <c r="Z163" i="1"/>
  <c r="Z161" i="1"/>
  <c r="Z158" i="1"/>
  <c r="Z160" i="1"/>
  <c r="Z165" i="1"/>
  <c r="Z162" i="1"/>
  <c r="Z159" i="1"/>
  <c r="Z164" i="1"/>
  <c r="AL164" i="1"/>
  <c r="AL163" i="1"/>
  <c r="AL161" i="1"/>
  <c r="AL158" i="1"/>
  <c r="AL160" i="1"/>
  <c r="AL165" i="1"/>
  <c r="AL162" i="1"/>
  <c r="AL159" i="1"/>
  <c r="AM161" i="1"/>
  <c r="AM158" i="1"/>
  <c r="AM159" i="1"/>
  <c r="AM160" i="1"/>
  <c r="T160" i="1"/>
  <c r="T159" i="1"/>
  <c r="T162" i="1"/>
  <c r="T158" i="1"/>
  <c r="T161" i="1"/>
  <c r="T163" i="1"/>
  <c r="T164" i="1"/>
  <c r="T165" i="1"/>
  <c r="AM163" i="1"/>
  <c r="AM162" i="1"/>
  <c r="AM165" i="1"/>
  <c r="AM164" i="1"/>
  <c r="X164" i="1"/>
  <c r="O164" i="1" s="1"/>
  <c r="F164" i="1" s="1"/>
  <c r="X161" i="1"/>
  <c r="O161" i="1" s="1"/>
  <c r="F161" i="1" s="1"/>
  <c r="X160" i="1"/>
  <c r="O160" i="1" s="1"/>
  <c r="F160" i="1" s="1"/>
  <c r="X165" i="1"/>
  <c r="O165" i="1" s="1"/>
  <c r="F165" i="1" s="1"/>
  <c r="AN161" i="1"/>
  <c r="AN158" i="1"/>
  <c r="AN160" i="1"/>
  <c r="AN165" i="1"/>
  <c r="AN162" i="1"/>
  <c r="AN164" i="1"/>
  <c r="S161" i="1"/>
  <c r="E161" i="1" s="1"/>
  <c r="S165" i="1"/>
  <c r="E165" i="1" s="1"/>
  <c r="S164" i="1"/>
  <c r="E164" i="1" s="1"/>
  <c r="S162" i="1"/>
  <c r="E162" i="1" s="1"/>
  <c r="S159" i="1"/>
  <c r="E159" i="1" s="1"/>
  <c r="S163" i="1"/>
  <c r="E163" i="1" s="1"/>
  <c r="S160" i="1"/>
  <c r="E160" i="1" s="1"/>
  <c r="S158" i="1"/>
  <c r="E158" i="1" s="1"/>
  <c r="AL114" i="1"/>
  <c r="AL116" i="1"/>
  <c r="AO115" i="1"/>
  <c r="AO117" i="1"/>
  <c r="AO116" i="1"/>
  <c r="AO114" i="1"/>
  <c r="AN117" i="1"/>
  <c r="AN116" i="1"/>
  <c r="AN114" i="1"/>
  <c r="AN111" i="1"/>
  <c r="AN115" i="1"/>
  <c r="AM115" i="1"/>
  <c r="AM116" i="1"/>
  <c r="AM117" i="1"/>
  <c r="AM114" i="1"/>
  <c r="X115" i="1"/>
  <c r="O115" i="1" s="1"/>
  <c r="F115" i="1" s="1"/>
  <c r="X114" i="1"/>
  <c r="O114" i="1" s="1"/>
  <c r="F114" i="1" s="1"/>
  <c r="X116" i="1"/>
  <c r="O116" i="1" s="1"/>
  <c r="F116" i="1" s="1"/>
  <c r="X117" i="1"/>
  <c r="O117" i="1" s="1"/>
  <c r="F117" i="1" s="1"/>
  <c r="W115" i="1"/>
  <c r="N115" i="1" s="1"/>
  <c r="G115" i="1" s="1"/>
  <c r="V115" i="1"/>
  <c r="W114" i="1"/>
  <c r="N114" i="1" s="1"/>
  <c r="G114" i="1" s="1"/>
  <c r="V114" i="1"/>
  <c r="T110" i="1"/>
  <c r="T116" i="1"/>
  <c r="S110" i="1"/>
  <c r="E110" i="1" s="1"/>
  <c r="S116" i="1"/>
  <c r="E116" i="1" s="1"/>
  <c r="X111" i="1"/>
  <c r="O111" i="1" s="1"/>
  <c r="F111" i="1" s="1"/>
  <c r="AM113" i="1"/>
  <c r="AM112" i="1"/>
  <c r="AN110" i="1"/>
  <c r="AN112" i="1"/>
  <c r="AN113" i="1"/>
  <c r="AL112" i="1"/>
  <c r="AL113" i="1"/>
  <c r="AO112" i="1"/>
  <c r="AO113" i="1"/>
  <c r="X113" i="1"/>
  <c r="O113" i="1" s="1"/>
  <c r="F113" i="1" s="1"/>
  <c r="X112" i="1"/>
  <c r="O112" i="1" s="1"/>
  <c r="F112" i="1" s="1"/>
  <c r="W111" i="1"/>
  <c r="N111" i="1" s="1"/>
  <c r="G111" i="1" s="1"/>
  <c r="V111" i="1"/>
  <c r="Z110" i="1"/>
  <c r="Z111" i="1"/>
  <c r="AO110" i="1"/>
  <c r="AO111" i="1"/>
  <c r="X110" i="1"/>
  <c r="O110" i="1" s="1"/>
  <c r="F110" i="1" s="1"/>
  <c r="V110" i="1"/>
  <c r="W110" i="1"/>
  <c r="N110" i="1" s="1"/>
  <c r="G110" i="1" s="1"/>
  <c r="AL111" i="1"/>
  <c r="AL115" i="1"/>
  <c r="AL117" i="1"/>
  <c r="AM111" i="1"/>
  <c r="AL110" i="1"/>
  <c r="AM110" i="1"/>
  <c r="U110" i="1"/>
  <c r="U111" i="1"/>
  <c r="U112" i="1"/>
  <c r="U114" i="1"/>
  <c r="U113" i="1"/>
  <c r="U115" i="1"/>
  <c r="U117" i="1"/>
  <c r="T112" i="1"/>
  <c r="T111" i="1"/>
  <c r="Z112" i="1"/>
  <c r="S112" i="1"/>
  <c r="E112" i="1" s="1"/>
  <c r="S111" i="1"/>
  <c r="E111" i="1" s="1"/>
  <c r="Z114" i="1"/>
  <c r="Z113" i="1"/>
  <c r="T114" i="1"/>
  <c r="T113" i="1"/>
  <c r="S114" i="1"/>
  <c r="E114" i="1" s="1"/>
  <c r="S113" i="1"/>
  <c r="E113" i="1" s="1"/>
  <c r="Z117" i="1"/>
  <c r="Z115" i="1"/>
  <c r="T117" i="1"/>
  <c r="T115" i="1"/>
  <c r="S117" i="1"/>
  <c r="E117" i="1" s="1"/>
  <c r="S115" i="1"/>
  <c r="E115" i="1" s="1"/>
  <c r="AN788" i="1"/>
  <c r="AN774" i="1"/>
  <c r="AN782" i="1"/>
  <c r="AN800" i="1"/>
  <c r="AN785" i="1"/>
  <c r="AN766" i="1"/>
  <c r="AN760" i="1"/>
  <c r="AN754" i="1"/>
  <c r="AN792" i="1"/>
  <c r="AN742" i="1"/>
  <c r="AN796" i="1"/>
  <c r="AN778" i="1"/>
  <c r="AN763" i="1"/>
  <c r="AN746" i="1"/>
  <c r="AN744" i="1"/>
  <c r="AN752" i="1"/>
  <c r="AN748" i="1"/>
  <c r="AN750" i="1"/>
  <c r="AN770" i="1"/>
  <c r="AN757" i="1"/>
  <c r="W799" i="1"/>
  <c r="N799" i="1" s="1"/>
  <c r="G799" i="1" s="1"/>
  <c r="V798" i="1"/>
  <c r="W805" i="1"/>
  <c r="N805" i="1" s="1"/>
  <c r="G805" i="1" s="1"/>
  <c r="V804" i="1"/>
  <c r="W789" i="1"/>
  <c r="N789" i="1" s="1"/>
  <c r="G789" i="1" s="1"/>
  <c r="V788" i="1"/>
  <c r="W797" i="1"/>
  <c r="N797" i="1" s="1"/>
  <c r="G797" i="1" s="1"/>
  <c r="V796" i="1"/>
  <c r="W798" i="1"/>
  <c r="N798" i="1" s="1"/>
  <c r="G798" i="1" s="1"/>
  <c r="V797" i="1"/>
  <c r="W777" i="1"/>
  <c r="N777" i="1" s="1"/>
  <c r="G777" i="1" s="1"/>
  <c r="V777" i="1"/>
  <c r="W768" i="1"/>
  <c r="N768" i="1" s="1"/>
  <c r="G768" i="1" s="1"/>
  <c r="V767" i="1"/>
  <c r="V805" i="1"/>
  <c r="W784" i="1"/>
  <c r="N784" i="1" s="1"/>
  <c r="G784" i="1" s="1"/>
  <c r="W782" i="1"/>
  <c r="N782" i="1" s="1"/>
  <c r="G782" i="1" s="1"/>
  <c r="V776" i="1"/>
  <c r="W760" i="1"/>
  <c r="N760" i="1" s="1"/>
  <c r="G760" i="1" s="1"/>
  <c r="W755" i="1"/>
  <c r="N755" i="1" s="1"/>
  <c r="G755" i="1" s="1"/>
  <c r="V754" i="1"/>
  <c r="V799" i="1"/>
  <c r="V789" i="1"/>
  <c r="W806" i="1"/>
  <c r="N806" i="1" s="1"/>
  <c r="G806" i="1" s="1"/>
  <c r="V784" i="1"/>
  <c r="W804" i="1"/>
  <c r="N804" i="1" s="1"/>
  <c r="G804" i="1" s="1"/>
  <c r="W796" i="1"/>
  <c r="N796" i="1" s="1"/>
  <c r="G796" i="1" s="1"/>
  <c r="W766" i="1"/>
  <c r="N766" i="1" s="1"/>
  <c r="G766" i="1" s="1"/>
  <c r="V766" i="1"/>
  <c r="V762" i="1"/>
  <c r="V756" i="1"/>
  <c r="V750" i="1"/>
  <c r="W788" i="1"/>
  <c r="N788" i="1" s="1"/>
  <c r="G788" i="1" s="1"/>
  <c r="W761" i="1"/>
  <c r="N761" i="1" s="1"/>
  <c r="G761" i="1" s="1"/>
  <c r="W743" i="1"/>
  <c r="N743" i="1" s="1"/>
  <c r="G743" i="1" s="1"/>
  <c r="W767" i="1"/>
  <c r="N767" i="1" s="1"/>
  <c r="G767" i="1" s="1"/>
  <c r="V761" i="1"/>
  <c r="V760" i="1"/>
  <c r="V755" i="1"/>
  <c r="W754" i="1"/>
  <c r="N754" i="1" s="1"/>
  <c r="G754" i="1" s="1"/>
  <c r="W790" i="1"/>
  <c r="N790" i="1" s="1"/>
  <c r="G790" i="1" s="1"/>
  <c r="V783" i="1"/>
  <c r="W775" i="1"/>
  <c r="N775" i="1" s="1"/>
  <c r="G775" i="1" s="1"/>
  <c r="W769" i="1"/>
  <c r="N769" i="1" s="1"/>
  <c r="G769" i="1" s="1"/>
  <c r="V751" i="1"/>
  <c r="V747" i="1"/>
  <c r="V790" i="1"/>
  <c r="W746" i="1"/>
  <c r="N746" i="1" s="1"/>
  <c r="G746" i="1" s="1"/>
  <c r="V746" i="1"/>
  <c r="W776" i="1"/>
  <c r="N776" i="1" s="1"/>
  <c r="G776" i="1" s="1"/>
  <c r="W756" i="1"/>
  <c r="N756" i="1" s="1"/>
  <c r="G756" i="1" s="1"/>
  <c r="V782" i="1"/>
  <c r="V775" i="1"/>
  <c r="W762" i="1"/>
  <c r="N762" i="1" s="1"/>
  <c r="G762" i="1" s="1"/>
  <c r="W791" i="1"/>
  <c r="N791" i="1" s="1"/>
  <c r="G791" i="1" s="1"/>
  <c r="V743" i="1"/>
  <c r="W742" i="1"/>
  <c r="N742" i="1" s="1"/>
  <c r="G742" i="1" s="1"/>
  <c r="V806" i="1"/>
  <c r="V791" i="1"/>
  <c r="W774" i="1"/>
  <c r="N774" i="1" s="1"/>
  <c r="G774" i="1" s="1"/>
  <c r="W750" i="1"/>
  <c r="N750" i="1" s="1"/>
  <c r="G750" i="1" s="1"/>
  <c r="V742" i="1"/>
  <c r="W783" i="1"/>
  <c r="N783" i="1" s="1"/>
  <c r="G783" i="1" s="1"/>
  <c r="V774" i="1"/>
  <c r="V768" i="1"/>
  <c r="W747" i="1"/>
  <c r="N747" i="1" s="1"/>
  <c r="G747" i="1" s="1"/>
  <c r="V769" i="1"/>
  <c r="W751" i="1"/>
  <c r="N751" i="1" s="1"/>
  <c r="G751" i="1" s="1"/>
  <c r="X804" i="1"/>
  <c r="O804" i="1" s="1"/>
  <c r="F804" i="1" s="1"/>
  <c r="X806" i="1"/>
  <c r="O806" i="1" s="1"/>
  <c r="F806" i="1" s="1"/>
  <c r="X790" i="1"/>
  <c r="O790" i="1" s="1"/>
  <c r="F790" i="1" s="1"/>
  <c r="X798" i="1"/>
  <c r="O798" i="1" s="1"/>
  <c r="F798" i="1" s="1"/>
  <c r="X799" i="1"/>
  <c r="O799" i="1" s="1"/>
  <c r="F799" i="1" s="1"/>
  <c r="X782" i="1"/>
  <c r="O782" i="1" s="1"/>
  <c r="F782" i="1" s="1"/>
  <c r="X788" i="1"/>
  <c r="O788" i="1" s="1"/>
  <c r="F788" i="1" s="1"/>
  <c r="X783" i="1"/>
  <c r="O783" i="1" s="1"/>
  <c r="F783" i="1" s="1"/>
  <c r="X769" i="1"/>
  <c r="O769" i="1" s="1"/>
  <c r="F769" i="1" s="1"/>
  <c r="X766" i="1"/>
  <c r="O766" i="1" s="1"/>
  <c r="F766" i="1" s="1"/>
  <c r="X761" i="1"/>
  <c r="O761" i="1" s="1"/>
  <c r="F761" i="1" s="1"/>
  <c r="X756" i="1"/>
  <c r="O756" i="1" s="1"/>
  <c r="F756" i="1" s="1"/>
  <c r="X750" i="1"/>
  <c r="O750" i="1" s="1"/>
  <c r="F750" i="1" s="1"/>
  <c r="X784" i="1"/>
  <c r="O784" i="1" s="1"/>
  <c r="F784" i="1" s="1"/>
  <c r="X797" i="1"/>
  <c r="O797" i="1" s="1"/>
  <c r="F797" i="1" s="1"/>
  <c r="X762" i="1"/>
  <c r="O762" i="1" s="1"/>
  <c r="F762" i="1" s="1"/>
  <c r="X805" i="1"/>
  <c r="O805" i="1" s="1"/>
  <c r="F805" i="1" s="1"/>
  <c r="X767" i="1"/>
  <c r="O767" i="1" s="1"/>
  <c r="F767" i="1" s="1"/>
  <c r="X760" i="1"/>
  <c r="O760" i="1" s="1"/>
  <c r="F760" i="1" s="1"/>
  <c r="X755" i="1"/>
  <c r="O755" i="1" s="1"/>
  <c r="F755" i="1" s="1"/>
  <c r="X754" i="1"/>
  <c r="O754" i="1" s="1"/>
  <c r="F754" i="1" s="1"/>
  <c r="X768" i="1"/>
  <c r="O768" i="1" s="1"/>
  <c r="F768" i="1" s="1"/>
  <c r="X751" i="1"/>
  <c r="O751" i="1" s="1"/>
  <c r="F751" i="1" s="1"/>
  <c r="X747" i="1"/>
  <c r="O747" i="1" s="1"/>
  <c r="F747" i="1" s="1"/>
  <c r="X777" i="1"/>
  <c r="O777" i="1" s="1"/>
  <c r="F777" i="1" s="1"/>
  <c r="X776" i="1"/>
  <c r="O776" i="1" s="1"/>
  <c r="F776" i="1" s="1"/>
  <c r="X774" i="1"/>
  <c r="O774" i="1" s="1"/>
  <c r="F774" i="1" s="1"/>
  <c r="X789" i="1"/>
  <c r="O789" i="1" s="1"/>
  <c r="F789" i="1" s="1"/>
  <c r="X775" i="1"/>
  <c r="O775" i="1" s="1"/>
  <c r="F775" i="1" s="1"/>
  <c r="X791" i="1"/>
  <c r="O791" i="1" s="1"/>
  <c r="F791" i="1" s="1"/>
  <c r="X743" i="1"/>
  <c r="O743" i="1" s="1"/>
  <c r="F743" i="1" s="1"/>
  <c r="X742" i="1"/>
  <c r="O742" i="1" s="1"/>
  <c r="F742" i="1" s="1"/>
  <c r="X796" i="1"/>
  <c r="O796" i="1" s="1"/>
  <c r="F796" i="1" s="1"/>
  <c r="X746" i="1"/>
  <c r="O746" i="1" s="1"/>
  <c r="F746" i="1" s="1"/>
  <c r="AO800" i="1"/>
  <c r="AO794" i="1"/>
  <c r="AO801" i="1"/>
  <c r="AO795" i="1"/>
  <c r="AO803" i="1"/>
  <c r="AO793" i="1"/>
  <c r="AO787" i="1"/>
  <c r="AO809" i="1"/>
  <c r="AO778" i="1"/>
  <c r="AO802" i="1"/>
  <c r="AO781" i="1"/>
  <c r="AO772" i="1"/>
  <c r="AO745" i="1"/>
  <c r="AO808" i="1"/>
  <c r="AO792" i="1"/>
  <c r="AO785" i="1"/>
  <c r="AO807" i="1"/>
  <c r="AO771" i="1"/>
  <c r="AO770" i="1"/>
  <c r="AO759" i="1"/>
  <c r="AO753" i="1"/>
  <c r="AO749" i="1"/>
  <c r="AO773" i="1"/>
  <c r="AO764" i="1"/>
  <c r="AO758" i="1"/>
  <c r="AO744" i="1"/>
  <c r="AO765" i="1"/>
  <c r="AO786" i="1"/>
  <c r="AO779" i="1"/>
  <c r="AO752" i="1"/>
  <c r="AO748" i="1"/>
  <c r="AO780" i="1"/>
  <c r="AO757" i="1"/>
  <c r="AO763" i="1"/>
  <c r="AL804" i="1"/>
  <c r="AL803" i="1"/>
  <c r="AL793" i="1"/>
  <c r="AL806" i="1"/>
  <c r="AL800" i="1"/>
  <c r="AL794" i="1"/>
  <c r="AL790" i="1"/>
  <c r="AL802" i="1"/>
  <c r="AL798" i="1"/>
  <c r="AL792" i="1"/>
  <c r="AL786" i="1"/>
  <c r="AL808" i="1"/>
  <c r="AL799" i="1"/>
  <c r="AL782" i="1"/>
  <c r="AL781" i="1"/>
  <c r="AL795" i="1"/>
  <c r="AL769" i="1"/>
  <c r="AL807" i="1"/>
  <c r="AL784" i="1"/>
  <c r="AL780" i="1"/>
  <c r="AL778" i="1"/>
  <c r="AL771" i="1"/>
  <c r="AL766" i="1"/>
  <c r="AL765" i="1"/>
  <c r="AL761" i="1"/>
  <c r="AL756" i="1"/>
  <c r="AL750" i="1"/>
  <c r="AL749" i="1"/>
  <c r="AL744" i="1"/>
  <c r="AL809" i="1"/>
  <c r="AL789" i="1"/>
  <c r="AL779" i="1"/>
  <c r="AL796" i="1"/>
  <c r="AL773" i="1"/>
  <c r="AL801" i="1"/>
  <c r="AL762" i="1"/>
  <c r="AL752" i="1"/>
  <c r="AL755" i="1"/>
  <c r="AL805" i="1"/>
  <c r="AL797" i="1"/>
  <c r="AL787" i="1"/>
  <c r="AL785" i="1"/>
  <c r="AL767" i="1"/>
  <c r="AL760" i="1"/>
  <c r="AL754" i="1"/>
  <c r="AL747" i="1"/>
  <c r="AL783" i="1"/>
  <c r="AL776" i="1"/>
  <c r="AL775" i="1"/>
  <c r="AL772" i="1"/>
  <c r="AL770" i="1"/>
  <c r="AL759" i="1"/>
  <c r="AL753" i="1"/>
  <c r="AL768" i="1"/>
  <c r="AL757" i="1"/>
  <c r="AL763" i="1"/>
  <c r="AL751" i="1"/>
  <c r="AL746" i="1"/>
  <c r="AL777" i="1"/>
  <c r="AL743" i="1"/>
  <c r="AL758" i="1"/>
  <c r="AL745" i="1"/>
  <c r="AL742" i="1"/>
  <c r="AL791" i="1"/>
  <c r="AL748" i="1"/>
  <c r="AL774" i="1"/>
  <c r="AL764" i="1"/>
  <c r="AL788" i="1"/>
  <c r="AN723" i="1"/>
  <c r="AN809" i="1"/>
  <c r="AN791" i="1"/>
  <c r="AN799" i="1"/>
  <c r="AN803" i="1"/>
  <c r="AN795" i="1"/>
  <c r="AN806" i="1"/>
  <c r="X803" i="1"/>
  <c r="O803" i="1" s="1"/>
  <c r="F803" i="1" s="1"/>
  <c r="X793" i="1"/>
  <c r="O793" i="1" s="1"/>
  <c r="F793" i="1" s="1"/>
  <c r="X800" i="1"/>
  <c r="O800" i="1" s="1"/>
  <c r="F800" i="1" s="1"/>
  <c r="X794" i="1"/>
  <c r="O794" i="1" s="1"/>
  <c r="F794" i="1" s="1"/>
  <c r="X802" i="1"/>
  <c r="O802" i="1" s="1"/>
  <c r="F802" i="1" s="1"/>
  <c r="X792" i="1"/>
  <c r="O792" i="1" s="1"/>
  <c r="F792" i="1" s="1"/>
  <c r="X786" i="1"/>
  <c r="O786" i="1" s="1"/>
  <c r="F786" i="1" s="1"/>
  <c r="X808" i="1"/>
  <c r="O808" i="1" s="1"/>
  <c r="F808" i="1" s="1"/>
  <c r="X781" i="1"/>
  <c r="O781" i="1" s="1"/>
  <c r="F781" i="1" s="1"/>
  <c r="X809" i="1"/>
  <c r="O809" i="1" s="1"/>
  <c r="F809" i="1" s="1"/>
  <c r="X801" i="1"/>
  <c r="O801" i="1" s="1"/>
  <c r="F801" i="1" s="1"/>
  <c r="X807" i="1"/>
  <c r="O807" i="1" s="1"/>
  <c r="F807" i="1" s="1"/>
  <c r="X780" i="1"/>
  <c r="O780" i="1" s="1"/>
  <c r="F780" i="1" s="1"/>
  <c r="X771" i="1"/>
  <c r="O771" i="1" s="1"/>
  <c r="F771" i="1" s="1"/>
  <c r="X765" i="1"/>
  <c r="O765" i="1" s="1"/>
  <c r="F765" i="1" s="1"/>
  <c r="X749" i="1"/>
  <c r="O749" i="1" s="1"/>
  <c r="F749" i="1" s="1"/>
  <c r="X744" i="1"/>
  <c r="O744" i="1" s="1"/>
  <c r="F744" i="1" s="1"/>
  <c r="X787" i="1"/>
  <c r="O787" i="1" s="1"/>
  <c r="F787" i="1" s="1"/>
  <c r="X752" i="1"/>
  <c r="O752" i="1" s="1"/>
  <c r="F752" i="1" s="1"/>
  <c r="X785" i="1"/>
  <c r="O785" i="1" s="1"/>
  <c r="F785" i="1" s="1"/>
  <c r="X772" i="1"/>
  <c r="O772" i="1" s="1"/>
  <c r="F772" i="1" s="1"/>
  <c r="X795" i="1"/>
  <c r="O795" i="1" s="1"/>
  <c r="F795" i="1" s="1"/>
  <c r="X770" i="1"/>
  <c r="O770" i="1" s="1"/>
  <c r="F770" i="1" s="1"/>
  <c r="X759" i="1"/>
  <c r="O759" i="1" s="1"/>
  <c r="F759" i="1" s="1"/>
  <c r="X753" i="1"/>
  <c r="O753" i="1" s="1"/>
  <c r="F753" i="1" s="1"/>
  <c r="X757" i="1"/>
  <c r="O757" i="1" s="1"/>
  <c r="F757" i="1" s="1"/>
  <c r="X763" i="1"/>
  <c r="O763" i="1" s="1"/>
  <c r="F763" i="1" s="1"/>
  <c r="X779" i="1"/>
  <c r="O779" i="1" s="1"/>
  <c r="F779" i="1" s="1"/>
  <c r="X745" i="1"/>
  <c r="O745" i="1" s="1"/>
  <c r="F745" i="1" s="1"/>
  <c r="X758" i="1"/>
  <c r="O758" i="1" s="1"/>
  <c r="F758" i="1" s="1"/>
  <c r="X773" i="1"/>
  <c r="O773" i="1" s="1"/>
  <c r="F773" i="1" s="1"/>
  <c r="X764" i="1"/>
  <c r="O764" i="1" s="1"/>
  <c r="F764" i="1" s="1"/>
  <c r="X748" i="1"/>
  <c r="O748" i="1" s="1"/>
  <c r="F748" i="1" s="1"/>
  <c r="X778" i="1"/>
  <c r="O778" i="1" s="1"/>
  <c r="F778" i="1" s="1"/>
  <c r="T793" i="1"/>
  <c r="T803" i="1"/>
  <c r="T756" i="1"/>
  <c r="T779" i="1"/>
  <c r="T802" i="1"/>
  <c r="T762" i="1"/>
  <c r="T785" i="1"/>
  <c r="T755" i="1"/>
  <c r="T769" i="1"/>
  <c r="T778" i="1"/>
  <c r="T758" i="1"/>
  <c r="T806" i="1"/>
  <c r="T757" i="1"/>
  <c r="T808" i="1"/>
  <c r="T783" i="1"/>
  <c r="T767" i="1"/>
  <c r="T786" i="1"/>
  <c r="T752" i="1"/>
  <c r="T743" i="1"/>
  <c r="T789" i="1"/>
  <c r="T781" i="1"/>
  <c r="T748" i="1"/>
  <c r="T800" i="1"/>
  <c r="T791" i="1"/>
  <c r="T787" i="1"/>
  <c r="T790" i="1"/>
  <c r="T777" i="1"/>
  <c r="T742" i="1"/>
  <c r="T804" i="1"/>
  <c r="T799" i="1"/>
  <c r="T766" i="1"/>
  <c r="T750" i="1"/>
  <c r="T801" i="1"/>
  <c r="T805" i="1"/>
  <c r="T788" i="1"/>
  <c r="T775" i="1"/>
  <c r="T784" i="1"/>
  <c r="T780" i="1"/>
  <c r="T753" i="1"/>
  <c r="T782" i="1"/>
  <c r="T776" i="1"/>
  <c r="T764" i="1"/>
  <c r="T759" i="1"/>
  <c r="T809" i="1"/>
  <c r="T761" i="1"/>
  <c r="T792" i="1"/>
  <c r="T765" i="1"/>
  <c r="T744" i="1"/>
  <c r="T745" i="1"/>
  <c r="T794" i="1"/>
  <c r="T795" i="1"/>
  <c r="T770" i="1"/>
  <c r="T796" i="1"/>
  <c r="T798" i="1"/>
  <c r="T746" i="1"/>
  <c r="T754" i="1"/>
  <c r="T760" i="1"/>
  <c r="T747" i="1"/>
  <c r="T749" i="1"/>
  <c r="T763" i="1"/>
  <c r="T773" i="1"/>
  <c r="T774" i="1"/>
  <c r="T807" i="1"/>
  <c r="T797" i="1"/>
  <c r="T751" i="1"/>
  <c r="T772" i="1"/>
  <c r="T768" i="1"/>
  <c r="T771" i="1"/>
  <c r="Z806" i="1"/>
  <c r="Z800" i="1"/>
  <c r="Z794" i="1"/>
  <c r="Z790" i="1"/>
  <c r="Z801" i="1"/>
  <c r="Z796" i="1"/>
  <c r="Z795" i="1"/>
  <c r="Z804" i="1"/>
  <c r="Z803" i="1"/>
  <c r="Z793" i="1"/>
  <c r="Z788" i="1"/>
  <c r="Z787" i="1"/>
  <c r="Z809" i="1"/>
  <c r="Z805" i="1"/>
  <c r="Z789" i="1"/>
  <c r="Z784" i="1"/>
  <c r="Z778" i="1"/>
  <c r="Z775" i="1"/>
  <c r="Z808" i="1"/>
  <c r="Z797" i="1"/>
  <c r="Z777" i="1"/>
  <c r="Z772" i="1"/>
  <c r="Z768" i="1"/>
  <c r="Z746" i="1"/>
  <c r="Z745" i="1"/>
  <c r="Z798" i="1"/>
  <c r="Z791" i="1"/>
  <c r="Z782" i="1"/>
  <c r="Z765" i="1"/>
  <c r="Z785" i="1"/>
  <c r="Z767" i="1"/>
  <c r="Z760" i="1"/>
  <c r="Z754" i="1"/>
  <c r="Z747" i="1"/>
  <c r="Z807" i="1"/>
  <c r="Z771" i="1"/>
  <c r="Z751" i="1"/>
  <c r="Z749" i="1"/>
  <c r="Z783" i="1"/>
  <c r="Z776" i="1"/>
  <c r="Z773" i="1"/>
  <c r="Z770" i="1"/>
  <c r="Z769" i="1"/>
  <c r="Z759" i="1"/>
  <c r="Z753" i="1"/>
  <c r="Z764" i="1"/>
  <c r="Z758" i="1"/>
  <c r="Z792" i="1"/>
  <c r="Z766" i="1"/>
  <c r="Z786" i="1"/>
  <c r="Z781" i="1"/>
  <c r="Z779" i="1"/>
  <c r="Z756" i="1"/>
  <c r="Z755" i="1"/>
  <c r="Z743" i="1"/>
  <c r="Z762" i="1"/>
  <c r="Z761" i="1"/>
  <c r="Z752" i="1"/>
  <c r="Z742" i="1"/>
  <c r="Z750" i="1"/>
  <c r="Z748" i="1"/>
  <c r="Z780" i="1"/>
  <c r="Z774" i="1"/>
  <c r="Z802" i="1"/>
  <c r="Z799" i="1"/>
  <c r="Z757" i="1"/>
  <c r="Z763" i="1"/>
  <c r="Z744" i="1"/>
  <c r="AN804" i="1"/>
  <c r="AN793" i="1"/>
  <c r="AN783" i="1"/>
  <c r="AN801" i="1"/>
  <c r="AN786" i="1"/>
  <c r="AN762" i="1"/>
  <c r="AN797" i="1"/>
  <c r="AN756" i="1"/>
  <c r="AN768" i="1"/>
  <c r="AN789" i="1"/>
  <c r="AN759" i="1"/>
  <c r="AN772" i="1"/>
  <c r="AN776" i="1"/>
  <c r="AN765" i="1"/>
  <c r="AN780" i="1"/>
  <c r="AN807" i="1"/>
  <c r="S807" i="1"/>
  <c r="E807" i="1" s="1"/>
  <c r="S791" i="1"/>
  <c r="E791" i="1" s="1"/>
  <c r="S808" i="1"/>
  <c r="E808" i="1" s="1"/>
  <c r="S797" i="1"/>
  <c r="E797" i="1" s="1"/>
  <c r="S805" i="1"/>
  <c r="E805" i="1" s="1"/>
  <c r="S789" i="1"/>
  <c r="E789" i="1" s="1"/>
  <c r="S806" i="1"/>
  <c r="E806" i="1" s="1"/>
  <c r="S801" i="1"/>
  <c r="E801" i="1" s="1"/>
  <c r="S795" i="1"/>
  <c r="E795" i="1" s="1"/>
  <c r="S790" i="1"/>
  <c r="E790" i="1" s="1"/>
  <c r="S785" i="1"/>
  <c r="E785" i="1" s="1"/>
  <c r="S776" i="1"/>
  <c r="E776" i="1" s="1"/>
  <c r="S771" i="1"/>
  <c r="E771" i="1" s="1"/>
  <c r="S765" i="1"/>
  <c r="E765" i="1" s="1"/>
  <c r="S800" i="1"/>
  <c r="E800" i="1" s="1"/>
  <c r="S798" i="1"/>
  <c r="E798" i="1" s="1"/>
  <c r="S783" i="1"/>
  <c r="E783" i="1" s="1"/>
  <c r="S769" i="1"/>
  <c r="E769" i="1" s="1"/>
  <c r="S758" i="1"/>
  <c r="E758" i="1" s="1"/>
  <c r="S747" i="1"/>
  <c r="E747" i="1" s="1"/>
  <c r="S802" i="1"/>
  <c r="E802" i="1" s="1"/>
  <c r="S794" i="1"/>
  <c r="E794" i="1" s="1"/>
  <c r="S799" i="1"/>
  <c r="E799" i="1" s="1"/>
  <c r="S793" i="1"/>
  <c r="E793" i="1" s="1"/>
  <c r="B793" i="1" s="1"/>
  <c r="S784" i="1"/>
  <c r="E784" i="1" s="1"/>
  <c r="S759" i="1"/>
  <c r="E759" i="1" s="1"/>
  <c r="S780" i="1"/>
  <c r="E780" i="1" s="1"/>
  <c r="B780" i="1" s="1"/>
  <c r="S778" i="1"/>
  <c r="E778" i="1" s="1"/>
  <c r="S764" i="1"/>
  <c r="E764" i="1" s="1"/>
  <c r="S792" i="1"/>
  <c r="E792" i="1" s="1"/>
  <c r="S787" i="1"/>
  <c r="E787" i="1" s="1"/>
  <c r="S781" i="1"/>
  <c r="E781" i="1" s="1"/>
  <c r="S779" i="1"/>
  <c r="E779" i="1" s="1"/>
  <c r="S763" i="1"/>
  <c r="E763" i="1" s="1"/>
  <c r="S757" i="1"/>
  <c r="E757" i="1" s="1"/>
  <c r="S748" i="1"/>
  <c r="E748" i="1" s="1"/>
  <c r="S803" i="1"/>
  <c r="E803" i="1" s="1"/>
  <c r="S766" i="1"/>
  <c r="E766" i="1" s="1"/>
  <c r="S746" i="1"/>
  <c r="E746" i="1" s="1"/>
  <c r="S786" i="1"/>
  <c r="E786" i="1" s="1"/>
  <c r="S772" i="1"/>
  <c r="E772" i="1" s="1"/>
  <c r="S767" i="1"/>
  <c r="E767" i="1" s="1"/>
  <c r="S761" i="1"/>
  <c r="E761" i="1" s="1"/>
  <c r="S755" i="1"/>
  <c r="E755" i="1" s="1"/>
  <c r="S743" i="1"/>
  <c r="E743" i="1" s="1"/>
  <c r="S754" i="1"/>
  <c r="E754" i="1" s="1"/>
  <c r="S760" i="1"/>
  <c r="E760" i="1" s="1"/>
  <c r="S751" i="1"/>
  <c r="E751" i="1" s="1"/>
  <c r="S744" i="1"/>
  <c r="E744" i="1" s="1"/>
  <c r="S804" i="1"/>
  <c r="E804" i="1" s="1"/>
  <c r="S777" i="1"/>
  <c r="E777" i="1" s="1"/>
  <c r="S756" i="1"/>
  <c r="E756" i="1" s="1"/>
  <c r="S762" i="1"/>
  <c r="E762" i="1" s="1"/>
  <c r="S752" i="1"/>
  <c r="E752" i="1" s="1"/>
  <c r="S745" i="1"/>
  <c r="E745" i="1" s="1"/>
  <c r="S788" i="1"/>
  <c r="E788" i="1" s="1"/>
  <c r="S782" i="1"/>
  <c r="E782" i="1" s="1"/>
  <c r="S775" i="1"/>
  <c r="E775" i="1" s="1"/>
  <c r="S809" i="1"/>
  <c r="E809" i="1" s="1"/>
  <c r="S773" i="1"/>
  <c r="E773" i="1" s="1"/>
  <c r="S770" i="1"/>
  <c r="E770" i="1" s="1"/>
  <c r="S750" i="1"/>
  <c r="E750" i="1" s="1"/>
  <c r="S749" i="1"/>
  <c r="E749" i="1" s="1"/>
  <c r="S796" i="1"/>
  <c r="E796" i="1" s="1"/>
  <c r="S774" i="1"/>
  <c r="E774" i="1" s="1"/>
  <c r="S768" i="1"/>
  <c r="E768" i="1" s="1"/>
  <c r="S753" i="1"/>
  <c r="E753" i="1" s="1"/>
  <c r="S742" i="1"/>
  <c r="E742" i="1" s="1"/>
  <c r="U808" i="1"/>
  <c r="U797" i="1"/>
  <c r="U809" i="1"/>
  <c r="U799" i="1"/>
  <c r="U807" i="1"/>
  <c r="U791" i="1"/>
  <c r="U802" i="1"/>
  <c r="U796" i="1"/>
  <c r="U792" i="1"/>
  <c r="U786" i="1"/>
  <c r="U804" i="1"/>
  <c r="U795" i="1"/>
  <c r="U790" i="1"/>
  <c r="U787" i="1"/>
  <c r="U772" i="1"/>
  <c r="U766" i="1"/>
  <c r="U793" i="1"/>
  <c r="U789" i="1"/>
  <c r="U778" i="1"/>
  <c r="U775" i="1"/>
  <c r="U759" i="1"/>
  <c r="U743" i="1"/>
  <c r="U783" i="1"/>
  <c r="U806" i="1"/>
  <c r="U805" i="1"/>
  <c r="U803" i="1"/>
  <c r="U788" i="1"/>
  <c r="U781" i="1"/>
  <c r="U774" i="1"/>
  <c r="U773" i="1"/>
  <c r="U767" i="1"/>
  <c r="U800" i="1"/>
  <c r="U763" i="1"/>
  <c r="U757" i="1"/>
  <c r="U748" i="1"/>
  <c r="U746" i="1"/>
  <c r="U762" i="1"/>
  <c r="U756" i="1"/>
  <c r="U752" i="1"/>
  <c r="U750" i="1"/>
  <c r="U785" i="1"/>
  <c r="U768" i="1"/>
  <c r="U801" i="1"/>
  <c r="U798" i="1"/>
  <c r="U794" i="1"/>
  <c r="U769" i="1"/>
  <c r="U760" i="1"/>
  <c r="U751" i="1"/>
  <c r="U744" i="1"/>
  <c r="U777" i="1"/>
  <c r="U784" i="1"/>
  <c r="U771" i="1"/>
  <c r="U765" i="1"/>
  <c r="U755" i="1"/>
  <c r="U779" i="1"/>
  <c r="U776" i="1"/>
  <c r="U761" i="1"/>
  <c r="U745" i="1"/>
  <c r="U782" i="1"/>
  <c r="U758" i="1"/>
  <c r="U770" i="1"/>
  <c r="U749" i="1"/>
  <c r="U780" i="1"/>
  <c r="U764" i="1"/>
  <c r="U753" i="1"/>
  <c r="U742" i="1"/>
  <c r="U754" i="1"/>
  <c r="U747" i="1"/>
  <c r="AN805" i="1"/>
  <c r="AN808" i="1"/>
  <c r="AN787" i="1"/>
  <c r="AN773" i="1"/>
  <c r="AN802" i="1"/>
  <c r="AN784" i="1"/>
  <c r="AN781" i="1"/>
  <c r="AN777" i="1"/>
  <c r="AN769" i="1"/>
  <c r="AN798" i="1"/>
  <c r="AN794" i="1"/>
  <c r="AN790" i="1"/>
  <c r="AN779" i="1"/>
  <c r="AN767" i="1"/>
  <c r="AN751" i="1"/>
  <c r="AN755" i="1"/>
  <c r="AN761" i="1"/>
  <c r="AN747" i="1"/>
  <c r="AN743" i="1"/>
  <c r="AN758" i="1"/>
  <c r="AN745" i="1"/>
  <c r="AN775" i="1"/>
  <c r="AN771" i="1"/>
  <c r="AN764" i="1"/>
  <c r="AN753" i="1"/>
  <c r="AN749" i="1"/>
  <c r="AN514" i="1"/>
  <c r="AN615" i="1"/>
  <c r="AN618" i="1"/>
  <c r="AN603" i="1"/>
  <c r="AN597" i="1"/>
  <c r="AN621" i="1"/>
  <c r="AN612" i="1"/>
  <c r="AN609" i="1"/>
  <c r="AN606" i="1"/>
  <c r="AN600" i="1"/>
  <c r="AN594" i="1"/>
  <c r="Z673" i="1"/>
  <c r="Z669" i="1"/>
  <c r="Z668" i="1"/>
  <c r="Z664" i="1"/>
  <c r="Z663" i="1"/>
  <c r="Z659" i="1"/>
  <c r="Z655" i="1"/>
  <c r="Z654" i="1"/>
  <c r="Z653" i="1"/>
  <c r="Z649" i="1"/>
  <c r="Z645" i="1"/>
  <c r="Z644" i="1"/>
  <c r="Z643" i="1"/>
  <c r="Z639" i="1"/>
  <c r="Z671" i="1"/>
  <c r="Z666" i="1"/>
  <c r="Z661" i="1"/>
  <c r="Z657" i="1"/>
  <c r="Z658" i="1"/>
  <c r="Z650" i="1"/>
  <c r="Z647" i="1"/>
  <c r="Z652" i="1"/>
  <c r="Z651" i="1"/>
  <c r="Z646" i="1"/>
  <c r="Z665" i="1"/>
  <c r="Z662" i="1"/>
  <c r="Z670" i="1"/>
  <c r="Z667" i="1"/>
  <c r="Z648" i="1"/>
  <c r="Z636" i="1"/>
  <c r="Z630" i="1"/>
  <c r="Z626" i="1"/>
  <c r="Z641" i="1"/>
  <c r="Z637" i="1"/>
  <c r="Z624" i="1"/>
  <c r="Z622" i="1"/>
  <c r="Z619" i="1"/>
  <c r="Z615" i="1"/>
  <c r="Z611" i="1"/>
  <c r="Z610" i="1"/>
  <c r="Z609" i="1"/>
  <c r="Z608" i="1"/>
  <c r="Z642" i="1"/>
  <c r="Z638" i="1"/>
  <c r="Z628" i="1"/>
  <c r="Z656" i="1"/>
  <c r="Z634" i="1"/>
  <c r="Z632" i="1"/>
  <c r="Z620" i="1"/>
  <c r="Z616" i="1"/>
  <c r="Z672" i="1"/>
  <c r="Z640" i="1"/>
  <c r="Z629" i="1"/>
  <c r="Z607" i="1"/>
  <c r="Z601" i="1"/>
  <c r="Z635" i="1"/>
  <c r="Z627" i="1"/>
  <c r="Z623" i="1"/>
  <c r="Z613" i="1"/>
  <c r="Z605" i="1"/>
  <c r="Z612" i="1"/>
  <c r="Z631" i="1"/>
  <c r="Z599" i="1"/>
  <c r="Z621" i="1"/>
  <c r="Z598" i="1"/>
  <c r="Z660" i="1"/>
  <c r="Z614" i="1"/>
  <c r="Z604" i="1"/>
  <c r="Z596" i="1"/>
  <c r="Z633" i="1"/>
  <c r="Z618" i="1"/>
  <c r="Z606" i="1"/>
  <c r="Z597" i="1"/>
  <c r="Z594" i="1"/>
  <c r="Z600" i="1"/>
  <c r="Z625" i="1"/>
  <c r="Z617" i="1"/>
  <c r="Z603" i="1"/>
  <c r="Z602" i="1"/>
  <c r="Z595" i="1"/>
  <c r="AL672" i="1"/>
  <c r="AL667" i="1"/>
  <c r="AL662" i="1"/>
  <c r="AL658" i="1"/>
  <c r="AL652" i="1"/>
  <c r="AL648" i="1"/>
  <c r="AL642" i="1"/>
  <c r="AL638" i="1"/>
  <c r="AL670" i="1"/>
  <c r="AL665" i="1"/>
  <c r="AL660" i="1"/>
  <c r="AL656" i="1"/>
  <c r="AL654" i="1"/>
  <c r="AL673" i="1"/>
  <c r="AL666" i="1"/>
  <c r="AL644" i="1"/>
  <c r="AL664" i="1"/>
  <c r="AL657" i="1"/>
  <c r="AL650" i="1"/>
  <c r="AL649" i="1"/>
  <c r="AL647" i="1"/>
  <c r="AL669" i="1"/>
  <c r="AL663" i="1"/>
  <c r="AL640" i="1"/>
  <c r="AL635" i="1"/>
  <c r="AL634" i="1"/>
  <c r="AL633" i="1"/>
  <c r="AL629" i="1"/>
  <c r="AL625" i="1"/>
  <c r="AL624" i="1"/>
  <c r="AL623" i="1"/>
  <c r="AL668" i="1"/>
  <c r="AL631" i="1"/>
  <c r="AL618" i="1"/>
  <c r="AL614" i="1"/>
  <c r="AL659" i="1"/>
  <c r="AL641" i="1"/>
  <c r="AL639" i="1"/>
  <c r="AL637" i="1"/>
  <c r="AL622" i="1"/>
  <c r="AL619" i="1"/>
  <c r="AL615" i="1"/>
  <c r="AL655" i="1"/>
  <c r="AL646" i="1"/>
  <c r="AL627" i="1"/>
  <c r="AL653" i="1"/>
  <c r="AL636" i="1"/>
  <c r="AL628" i="1"/>
  <c r="AL611" i="1"/>
  <c r="AL599" i="1"/>
  <c r="AL671" i="1"/>
  <c r="AL626" i="1"/>
  <c r="AL608" i="1"/>
  <c r="AL603" i="1"/>
  <c r="AL597" i="1"/>
  <c r="AL595" i="1"/>
  <c r="AL651" i="1"/>
  <c r="AL643" i="1"/>
  <c r="AL632" i="1"/>
  <c r="AL617" i="1"/>
  <c r="AL630" i="1"/>
  <c r="AL620" i="1"/>
  <c r="AL612" i="1"/>
  <c r="AL609" i="1"/>
  <c r="AL606" i="1"/>
  <c r="AL604" i="1"/>
  <c r="AL594" i="1"/>
  <c r="AL607" i="1"/>
  <c r="AL613" i="1"/>
  <c r="AL602" i="1"/>
  <c r="AL601" i="1"/>
  <c r="AL621" i="1"/>
  <c r="AL598" i="1"/>
  <c r="AL661" i="1"/>
  <c r="AL645" i="1"/>
  <c r="AL610" i="1"/>
  <c r="AL616" i="1"/>
  <c r="AL596" i="1"/>
  <c r="AL605" i="1"/>
  <c r="AL600" i="1"/>
  <c r="X672" i="1"/>
  <c r="O672" i="1" s="1"/>
  <c r="F672" i="1" s="1"/>
  <c r="X667" i="1"/>
  <c r="O667" i="1" s="1"/>
  <c r="F667" i="1" s="1"/>
  <c r="X662" i="1"/>
  <c r="O662" i="1" s="1"/>
  <c r="F662" i="1" s="1"/>
  <c r="X658" i="1"/>
  <c r="O658" i="1" s="1"/>
  <c r="F658" i="1" s="1"/>
  <c r="X652" i="1"/>
  <c r="O652" i="1" s="1"/>
  <c r="F652" i="1" s="1"/>
  <c r="X648" i="1"/>
  <c r="O648" i="1" s="1"/>
  <c r="F648" i="1" s="1"/>
  <c r="X642" i="1"/>
  <c r="O642" i="1" s="1"/>
  <c r="F642" i="1" s="1"/>
  <c r="X638" i="1"/>
  <c r="O638" i="1" s="1"/>
  <c r="F638" i="1" s="1"/>
  <c r="X670" i="1"/>
  <c r="O670" i="1" s="1"/>
  <c r="F670" i="1" s="1"/>
  <c r="X665" i="1"/>
  <c r="O665" i="1" s="1"/>
  <c r="F665" i="1" s="1"/>
  <c r="X660" i="1"/>
  <c r="O660" i="1" s="1"/>
  <c r="F660" i="1" s="1"/>
  <c r="X656" i="1"/>
  <c r="O656" i="1" s="1"/>
  <c r="F656" i="1" s="1"/>
  <c r="X666" i="1"/>
  <c r="O666" i="1" s="1"/>
  <c r="F666" i="1" s="1"/>
  <c r="X649" i="1"/>
  <c r="O649" i="1" s="1"/>
  <c r="F649" i="1" s="1"/>
  <c r="X657" i="1"/>
  <c r="O657" i="1" s="1"/>
  <c r="F657" i="1" s="1"/>
  <c r="X650" i="1"/>
  <c r="O650" i="1" s="1"/>
  <c r="F650" i="1" s="1"/>
  <c r="X668" i="1"/>
  <c r="O668" i="1" s="1"/>
  <c r="F668" i="1" s="1"/>
  <c r="X647" i="1"/>
  <c r="O647" i="1" s="1"/>
  <c r="F647" i="1" s="1"/>
  <c r="X646" i="1"/>
  <c r="O646" i="1" s="1"/>
  <c r="F646" i="1" s="1"/>
  <c r="X673" i="1"/>
  <c r="O673" i="1" s="1"/>
  <c r="F673" i="1" s="1"/>
  <c r="X633" i="1"/>
  <c r="O633" i="1" s="1"/>
  <c r="F633" i="1" s="1"/>
  <c r="X629" i="1"/>
  <c r="O629" i="1" s="1"/>
  <c r="F629" i="1" s="1"/>
  <c r="X623" i="1"/>
  <c r="O623" i="1" s="1"/>
  <c r="F623" i="1" s="1"/>
  <c r="X640" i="1"/>
  <c r="O640" i="1" s="1"/>
  <c r="F640" i="1" s="1"/>
  <c r="X631" i="1"/>
  <c r="O631" i="1" s="1"/>
  <c r="F631" i="1" s="1"/>
  <c r="X618" i="1"/>
  <c r="O618" i="1" s="1"/>
  <c r="F618" i="1" s="1"/>
  <c r="X614" i="1"/>
  <c r="O614" i="1" s="1"/>
  <c r="F614" i="1" s="1"/>
  <c r="X639" i="1"/>
  <c r="O639" i="1" s="1"/>
  <c r="F639" i="1" s="1"/>
  <c r="X653" i="1"/>
  <c r="O653" i="1" s="1"/>
  <c r="F653" i="1" s="1"/>
  <c r="X651" i="1"/>
  <c r="O651" i="1" s="1"/>
  <c r="F651" i="1" s="1"/>
  <c r="X641" i="1"/>
  <c r="O641" i="1" s="1"/>
  <c r="F641" i="1" s="1"/>
  <c r="X637" i="1"/>
  <c r="O637" i="1" s="1"/>
  <c r="F637" i="1" s="1"/>
  <c r="X622" i="1"/>
  <c r="O622" i="1" s="1"/>
  <c r="F622" i="1" s="1"/>
  <c r="X619" i="1"/>
  <c r="O619" i="1" s="1"/>
  <c r="F619" i="1" s="1"/>
  <c r="X615" i="1"/>
  <c r="O615" i="1" s="1"/>
  <c r="F615" i="1" s="1"/>
  <c r="X659" i="1"/>
  <c r="O659" i="1" s="1"/>
  <c r="F659" i="1" s="1"/>
  <c r="X627" i="1"/>
  <c r="O627" i="1" s="1"/>
  <c r="F627" i="1" s="1"/>
  <c r="X671" i="1"/>
  <c r="O671" i="1" s="1"/>
  <c r="F671" i="1" s="1"/>
  <c r="X608" i="1"/>
  <c r="O608" i="1" s="1"/>
  <c r="F608" i="1" s="1"/>
  <c r="X603" i="1"/>
  <c r="O603" i="1" s="1"/>
  <c r="F603" i="1" s="1"/>
  <c r="X607" i="1"/>
  <c r="O607" i="1" s="1"/>
  <c r="F607" i="1" s="1"/>
  <c r="X597" i="1"/>
  <c r="O597" i="1" s="1"/>
  <c r="F597" i="1" s="1"/>
  <c r="X617" i="1"/>
  <c r="O617" i="1" s="1"/>
  <c r="F617" i="1" s="1"/>
  <c r="X616" i="1"/>
  <c r="O616" i="1" s="1"/>
  <c r="F616" i="1" s="1"/>
  <c r="X628" i="1"/>
  <c r="O628" i="1" s="1"/>
  <c r="F628" i="1" s="1"/>
  <c r="X612" i="1"/>
  <c r="O612" i="1" s="1"/>
  <c r="F612" i="1" s="1"/>
  <c r="X606" i="1"/>
  <c r="O606" i="1" s="1"/>
  <c r="F606" i="1" s="1"/>
  <c r="X604" i="1"/>
  <c r="O604" i="1" s="1"/>
  <c r="F604" i="1" s="1"/>
  <c r="X663" i="1"/>
  <c r="O663" i="1" s="1"/>
  <c r="F663" i="1" s="1"/>
  <c r="X613" i="1"/>
  <c r="O613" i="1" s="1"/>
  <c r="F613" i="1" s="1"/>
  <c r="X661" i="1"/>
  <c r="O661" i="1" s="1"/>
  <c r="F661" i="1" s="1"/>
  <c r="X636" i="1"/>
  <c r="O636" i="1" s="1"/>
  <c r="F636" i="1" s="1"/>
  <c r="X621" i="1"/>
  <c r="O621" i="1" s="1"/>
  <c r="F621" i="1" s="1"/>
  <c r="X602" i="1"/>
  <c r="O602" i="1" s="1"/>
  <c r="F602" i="1" s="1"/>
  <c r="X643" i="1"/>
  <c r="O643" i="1" s="1"/>
  <c r="F643" i="1" s="1"/>
  <c r="X599" i="1"/>
  <c r="O599" i="1" s="1"/>
  <c r="F599" i="1" s="1"/>
  <c r="X598" i="1"/>
  <c r="O598" i="1" s="1"/>
  <c r="F598" i="1" s="1"/>
  <c r="X630" i="1"/>
  <c r="O630" i="1" s="1"/>
  <c r="F630" i="1" s="1"/>
  <c r="X626" i="1"/>
  <c r="O626" i="1" s="1"/>
  <c r="F626" i="1" s="1"/>
  <c r="X620" i="1"/>
  <c r="O620" i="1" s="1"/>
  <c r="F620" i="1" s="1"/>
  <c r="X605" i="1"/>
  <c r="O605" i="1" s="1"/>
  <c r="F605" i="1" s="1"/>
  <c r="X632" i="1"/>
  <c r="O632" i="1" s="1"/>
  <c r="F632" i="1" s="1"/>
  <c r="X601" i="1"/>
  <c r="O601" i="1" s="1"/>
  <c r="F601" i="1" s="1"/>
  <c r="X600" i="1"/>
  <c r="O600" i="1" s="1"/>
  <c r="F600" i="1" s="1"/>
  <c r="U514" i="1"/>
  <c r="U672" i="1"/>
  <c r="U667" i="1"/>
  <c r="U662" i="1"/>
  <c r="U658" i="1"/>
  <c r="U652" i="1"/>
  <c r="U673" i="1"/>
  <c r="U668" i="1"/>
  <c r="U663" i="1"/>
  <c r="U659" i="1"/>
  <c r="U653" i="1"/>
  <c r="U649" i="1"/>
  <c r="U643" i="1"/>
  <c r="U639" i="1"/>
  <c r="U670" i="1"/>
  <c r="U666" i="1"/>
  <c r="U664" i="1"/>
  <c r="U648" i="1"/>
  <c r="U657" i="1"/>
  <c r="U655" i="1"/>
  <c r="U650" i="1"/>
  <c r="U644" i="1"/>
  <c r="U654" i="1"/>
  <c r="U645" i="1"/>
  <c r="U641" i="1"/>
  <c r="U640" i="1"/>
  <c r="U665" i="1"/>
  <c r="U633" i="1"/>
  <c r="U627" i="1"/>
  <c r="U625" i="1"/>
  <c r="U647" i="1"/>
  <c r="U631" i="1"/>
  <c r="U618" i="1"/>
  <c r="U614" i="1"/>
  <c r="U635" i="1"/>
  <c r="U669" i="1"/>
  <c r="U660" i="1"/>
  <c r="U629" i="1"/>
  <c r="U621" i="1"/>
  <c r="U617" i="1"/>
  <c r="U613" i="1"/>
  <c r="U606" i="1"/>
  <c r="U602" i="1"/>
  <c r="U598" i="1"/>
  <c r="U636" i="1"/>
  <c r="U626" i="1"/>
  <c r="U619" i="1"/>
  <c r="U609" i="1"/>
  <c r="U599" i="1"/>
  <c r="U671" i="1"/>
  <c r="U637" i="1"/>
  <c r="U608" i="1"/>
  <c r="U603" i="1"/>
  <c r="U594" i="1"/>
  <c r="U656" i="1"/>
  <c r="U632" i="1"/>
  <c r="U661" i="1"/>
  <c r="U642" i="1"/>
  <c r="U630" i="1"/>
  <c r="U622" i="1"/>
  <c r="U620" i="1"/>
  <c r="U600" i="1"/>
  <c r="U646" i="1"/>
  <c r="U611" i="1"/>
  <c r="U601" i="1"/>
  <c r="U623" i="1"/>
  <c r="U615" i="1"/>
  <c r="U595" i="1"/>
  <c r="U651" i="1"/>
  <c r="U616" i="1"/>
  <c r="U610" i="1"/>
  <c r="U628" i="1"/>
  <c r="U612" i="1"/>
  <c r="U604" i="1"/>
  <c r="U624" i="1"/>
  <c r="U597" i="1"/>
  <c r="U638" i="1"/>
  <c r="U607" i="1"/>
  <c r="U596" i="1"/>
  <c r="U634" i="1"/>
  <c r="U605" i="1"/>
  <c r="S671" i="1"/>
  <c r="E671" i="1" s="1"/>
  <c r="S666" i="1"/>
  <c r="E666" i="1" s="1"/>
  <c r="S661" i="1"/>
  <c r="E661" i="1" s="1"/>
  <c r="S657" i="1"/>
  <c r="E657" i="1" s="1"/>
  <c r="S651" i="1"/>
  <c r="E651" i="1" s="1"/>
  <c r="S672" i="1"/>
  <c r="E672" i="1" s="1"/>
  <c r="S667" i="1"/>
  <c r="E667" i="1" s="1"/>
  <c r="S662" i="1"/>
  <c r="E662" i="1" s="1"/>
  <c r="S658" i="1"/>
  <c r="E658" i="1" s="1"/>
  <c r="S652" i="1"/>
  <c r="E652" i="1" s="1"/>
  <c r="S648" i="1"/>
  <c r="E648" i="1" s="1"/>
  <c r="S642" i="1"/>
  <c r="E642" i="1" s="1"/>
  <c r="S638" i="1"/>
  <c r="E638" i="1" s="1"/>
  <c r="S673" i="1"/>
  <c r="E673" i="1" s="1"/>
  <c r="S669" i="1"/>
  <c r="E669" i="1" s="1"/>
  <c r="S660" i="1"/>
  <c r="E660" i="1" s="1"/>
  <c r="S654" i="1"/>
  <c r="E654" i="1" s="1"/>
  <c r="S645" i="1"/>
  <c r="E645" i="1" s="1"/>
  <c r="S670" i="1"/>
  <c r="E670" i="1" s="1"/>
  <c r="S649" i="1"/>
  <c r="E649" i="1" s="1"/>
  <c r="S659" i="1"/>
  <c r="E659" i="1" s="1"/>
  <c r="S636" i="1"/>
  <c r="E636" i="1" s="1"/>
  <c r="S634" i="1"/>
  <c r="E634" i="1" s="1"/>
  <c r="S623" i="1"/>
  <c r="E623" i="1" s="1"/>
  <c r="S664" i="1"/>
  <c r="E664" i="1" s="1"/>
  <c r="S644" i="1"/>
  <c r="E644" i="1" s="1"/>
  <c r="S629" i="1"/>
  <c r="E629" i="1" s="1"/>
  <c r="S621" i="1"/>
  <c r="E621" i="1" s="1"/>
  <c r="B621" i="1" s="1"/>
  <c r="S617" i="1"/>
  <c r="E617" i="1" s="1"/>
  <c r="S665" i="1"/>
  <c r="E665" i="1" s="1"/>
  <c r="S647" i="1"/>
  <c r="E647" i="1" s="1"/>
  <c r="S640" i="1"/>
  <c r="E640" i="1" s="1"/>
  <c r="S633" i="1"/>
  <c r="E633" i="1" s="1"/>
  <c r="S627" i="1"/>
  <c r="E627" i="1" s="1"/>
  <c r="S625" i="1"/>
  <c r="E625" i="1" s="1"/>
  <c r="S663" i="1"/>
  <c r="E663" i="1" s="1"/>
  <c r="S646" i="1"/>
  <c r="E646" i="1" s="1"/>
  <c r="S630" i="1"/>
  <c r="E630" i="1" s="1"/>
  <c r="S620" i="1"/>
  <c r="E620" i="1" s="1"/>
  <c r="S616" i="1"/>
  <c r="E616" i="1" s="1"/>
  <c r="S612" i="1"/>
  <c r="E612" i="1" s="1"/>
  <c r="S611" i="1"/>
  <c r="E611" i="1" s="1"/>
  <c r="S610" i="1"/>
  <c r="E610" i="1" s="1"/>
  <c r="S609" i="1"/>
  <c r="E609" i="1" s="1"/>
  <c r="S605" i="1"/>
  <c r="E605" i="1" s="1"/>
  <c r="S601" i="1"/>
  <c r="E601" i="1" s="1"/>
  <c r="S597" i="1"/>
  <c r="E597" i="1" s="1"/>
  <c r="S596" i="1"/>
  <c r="E596" i="1" s="1"/>
  <c r="S595" i="1"/>
  <c r="E595" i="1" s="1"/>
  <c r="S594" i="1"/>
  <c r="E594" i="1" s="1"/>
  <c r="S641" i="1"/>
  <c r="E641" i="1" s="1"/>
  <c r="S628" i="1"/>
  <c r="E628" i="1" s="1"/>
  <c r="S606" i="1"/>
  <c r="E606" i="1" s="1"/>
  <c r="S600" i="1"/>
  <c r="E600" i="1" s="1"/>
  <c r="S624" i="1"/>
  <c r="E624" i="1" s="1"/>
  <c r="S615" i="1"/>
  <c r="E615" i="1" s="1"/>
  <c r="S604" i="1"/>
  <c r="E604" i="1" s="1"/>
  <c r="S668" i="1"/>
  <c r="E668" i="1" s="1"/>
  <c r="S643" i="1"/>
  <c r="E643" i="1" s="1"/>
  <c r="S639" i="1"/>
  <c r="E639" i="1" s="1"/>
  <c r="S618" i="1"/>
  <c r="E618" i="1" s="1"/>
  <c r="S613" i="1"/>
  <c r="E613" i="1" s="1"/>
  <c r="S656" i="1"/>
  <c r="E656" i="1" s="1"/>
  <c r="S655" i="1"/>
  <c r="E655" i="1" s="1"/>
  <c r="S653" i="1"/>
  <c r="E653" i="1" s="1"/>
  <c r="S598" i="1"/>
  <c r="E598" i="1" s="1"/>
  <c r="S632" i="1"/>
  <c r="E632" i="1" s="1"/>
  <c r="S607" i="1"/>
  <c r="E607" i="1" s="1"/>
  <c r="S631" i="1"/>
  <c r="E631" i="1" s="1"/>
  <c r="S603" i="1"/>
  <c r="E603" i="1" s="1"/>
  <c r="S635" i="1"/>
  <c r="E635" i="1" s="1"/>
  <c r="S602" i="1"/>
  <c r="E602" i="1" s="1"/>
  <c r="S650" i="1"/>
  <c r="E650" i="1" s="1"/>
  <c r="S614" i="1"/>
  <c r="E614" i="1" s="1"/>
  <c r="B614" i="1" s="1"/>
  <c r="S599" i="1"/>
  <c r="E599" i="1" s="1"/>
  <c r="S608" i="1"/>
  <c r="E608" i="1" s="1"/>
  <c r="S622" i="1"/>
  <c r="E622" i="1" s="1"/>
  <c r="S619" i="1"/>
  <c r="E619" i="1" s="1"/>
  <c r="S626" i="1"/>
  <c r="E626" i="1" s="1"/>
  <c r="S637" i="1"/>
  <c r="E637" i="1" s="1"/>
  <c r="AN516" i="1"/>
  <c r="AN673" i="1"/>
  <c r="AN669" i="1"/>
  <c r="AN668" i="1"/>
  <c r="AN664" i="1"/>
  <c r="AN663" i="1"/>
  <c r="AN659" i="1"/>
  <c r="AN655" i="1"/>
  <c r="AN653" i="1"/>
  <c r="AN649" i="1"/>
  <c r="AN670" i="1"/>
  <c r="AN665" i="1"/>
  <c r="AN666" i="1"/>
  <c r="AN667" i="1"/>
  <c r="AN657" i="1"/>
  <c r="AN647" i="1"/>
  <c r="AN651" i="1"/>
  <c r="AN635" i="1"/>
  <c r="AN633" i="1"/>
  <c r="AN672" i="1"/>
  <c r="AN641" i="1"/>
  <c r="AN639" i="1"/>
  <c r="AN637" i="1"/>
  <c r="AN631" i="1"/>
  <c r="AN629" i="1"/>
  <c r="AN614" i="1"/>
  <c r="AN599" i="1"/>
  <c r="AN671" i="1"/>
  <c r="AN608" i="1"/>
  <c r="AN661" i="1"/>
  <c r="AN645" i="1"/>
  <c r="AN602" i="1"/>
  <c r="AN625" i="1"/>
  <c r="AN617" i="1"/>
  <c r="AN611" i="1"/>
  <c r="AN623" i="1"/>
  <c r="AN596" i="1"/>
  <c r="AN643" i="1"/>
  <c r="AN627" i="1"/>
  <c r="AN605" i="1"/>
  <c r="AN620" i="1"/>
  <c r="W669" i="1"/>
  <c r="N669" i="1" s="1"/>
  <c r="G669" i="1" s="1"/>
  <c r="W664" i="1"/>
  <c r="N664" i="1" s="1"/>
  <c r="G664" i="1" s="1"/>
  <c r="W655" i="1"/>
  <c r="N655" i="1" s="1"/>
  <c r="G655" i="1" s="1"/>
  <c r="W654" i="1"/>
  <c r="N654" i="1" s="1"/>
  <c r="G654" i="1" s="1"/>
  <c r="W645" i="1"/>
  <c r="N645" i="1" s="1"/>
  <c r="G645" i="1" s="1"/>
  <c r="W644" i="1"/>
  <c r="N644" i="1" s="1"/>
  <c r="G644" i="1" s="1"/>
  <c r="V669" i="1"/>
  <c r="V664" i="1"/>
  <c r="V655" i="1"/>
  <c r="V654" i="1"/>
  <c r="V644" i="1"/>
  <c r="W635" i="1"/>
  <c r="N635" i="1" s="1"/>
  <c r="G635" i="1" s="1"/>
  <c r="V635" i="1"/>
  <c r="W624" i="1"/>
  <c r="N624" i="1" s="1"/>
  <c r="G624" i="1" s="1"/>
  <c r="V625" i="1"/>
  <c r="W611" i="1"/>
  <c r="N611" i="1" s="1"/>
  <c r="G611" i="1" s="1"/>
  <c r="V594" i="1"/>
  <c r="V611" i="1"/>
  <c r="V634" i="1"/>
  <c r="V610" i="1"/>
  <c r="V645" i="1"/>
  <c r="V624" i="1"/>
  <c r="W609" i="1"/>
  <c r="N609" i="1" s="1"/>
  <c r="G609" i="1" s="1"/>
  <c r="V596" i="1"/>
  <c r="W625" i="1"/>
  <c r="N625" i="1" s="1"/>
  <c r="G625" i="1" s="1"/>
  <c r="W595" i="1"/>
  <c r="N595" i="1" s="1"/>
  <c r="G595" i="1" s="1"/>
  <c r="V595" i="1"/>
  <c r="W610" i="1"/>
  <c r="N610" i="1" s="1"/>
  <c r="G610" i="1" s="1"/>
  <c r="V609" i="1"/>
  <c r="W596" i="1"/>
  <c r="N596" i="1" s="1"/>
  <c r="G596" i="1" s="1"/>
  <c r="W634" i="1"/>
  <c r="N634" i="1" s="1"/>
  <c r="G634" i="1" s="1"/>
  <c r="W594" i="1"/>
  <c r="N594" i="1" s="1"/>
  <c r="G594" i="1" s="1"/>
  <c r="AN515" i="1"/>
  <c r="AN654" i="1"/>
  <c r="AN660" i="1"/>
  <c r="AN656" i="1"/>
  <c r="AN650" i="1"/>
  <c r="AN646" i="1"/>
  <c r="AN640" i="1"/>
  <c r="AN648" i="1"/>
  <c r="AN658" i="1"/>
  <c r="AN652" i="1"/>
  <c r="AN644" i="1"/>
  <c r="AN622" i="1"/>
  <c r="AN619" i="1"/>
  <c r="AN662" i="1"/>
  <c r="AN628" i="1"/>
  <c r="AN624" i="1"/>
  <c r="AN607" i="1"/>
  <c r="AN642" i="1"/>
  <c r="AN626" i="1"/>
  <c r="AN595" i="1"/>
  <c r="AN638" i="1"/>
  <c r="AN601" i="1"/>
  <c r="AN634" i="1"/>
  <c r="AN616" i="1"/>
  <c r="AN632" i="1"/>
  <c r="AN613" i="1"/>
  <c r="AN598" i="1"/>
  <c r="AN610" i="1"/>
  <c r="AN636" i="1"/>
  <c r="AN604" i="1"/>
  <c r="AN630" i="1"/>
  <c r="T652" i="1"/>
  <c r="T642" i="1"/>
  <c r="T610" i="1"/>
  <c r="T612" i="1"/>
  <c r="T663" i="1"/>
  <c r="T648" i="1"/>
  <c r="T622" i="1"/>
  <c r="T599" i="1"/>
  <c r="T623" i="1"/>
  <c r="T673" i="1"/>
  <c r="T613" i="1"/>
  <c r="T646" i="1"/>
  <c r="T639" i="1"/>
  <c r="T618" i="1"/>
  <c r="T625" i="1"/>
  <c r="T605" i="1"/>
  <c r="T665" i="1"/>
  <c r="T666" i="1"/>
  <c r="T626" i="1"/>
  <c r="T621" i="1"/>
  <c r="T671" i="1"/>
  <c r="T654" i="1"/>
  <c r="T661" i="1"/>
  <c r="T645" i="1"/>
  <c r="T629" i="1"/>
  <c r="T608" i="1"/>
  <c r="T664" i="1"/>
  <c r="T657" i="1"/>
  <c r="T624" i="1"/>
  <c r="T603" i="1"/>
  <c r="T602" i="1"/>
  <c r="T600" i="1"/>
  <c r="T650" i="1"/>
  <c r="T662" i="1"/>
  <c r="T631" i="1"/>
  <c r="T636" i="1"/>
  <c r="T606" i="1"/>
  <c r="T670" i="1"/>
  <c r="T643" i="1"/>
  <c r="T628" i="1"/>
  <c r="T630" i="1"/>
  <c r="T596" i="1"/>
  <c r="T655" i="1"/>
  <c r="T647" i="1"/>
  <c r="T615" i="1"/>
  <c r="T595" i="1"/>
  <c r="T616" i="1"/>
  <c r="T668" i="1"/>
  <c r="T667" i="1"/>
  <c r="T637" i="1"/>
  <c r="T607" i="1"/>
  <c r="T617" i="1"/>
  <c r="T632" i="1"/>
  <c r="T656" i="1"/>
  <c r="T672" i="1"/>
  <c r="T633" i="1"/>
  <c r="T609" i="1"/>
  <c r="T634" i="1"/>
  <c r="T649" i="1"/>
  <c r="T651" i="1"/>
  <c r="T638" i="1"/>
  <c r="T601" i="1"/>
  <c r="T604" i="1"/>
  <c r="T659" i="1"/>
  <c r="T658" i="1"/>
  <c r="T619" i="1"/>
  <c r="T597" i="1"/>
  <c r="T598" i="1"/>
  <c r="T669" i="1"/>
  <c r="T640" i="1"/>
  <c r="T641" i="1"/>
  <c r="T614" i="1"/>
  <c r="T611" i="1"/>
  <c r="T594" i="1"/>
  <c r="T660" i="1"/>
  <c r="T644" i="1"/>
  <c r="T635" i="1"/>
  <c r="T620" i="1"/>
  <c r="T627" i="1"/>
  <c r="T653" i="1"/>
  <c r="X664" i="1"/>
  <c r="O664" i="1" s="1"/>
  <c r="F664" i="1" s="1"/>
  <c r="X655" i="1"/>
  <c r="O655" i="1" s="1"/>
  <c r="F655" i="1" s="1"/>
  <c r="X635" i="1"/>
  <c r="O635" i="1" s="1"/>
  <c r="F635" i="1" s="1"/>
  <c r="X634" i="1"/>
  <c r="O634" i="1" s="1"/>
  <c r="F634" i="1" s="1"/>
  <c r="X625" i="1"/>
  <c r="O625" i="1" s="1"/>
  <c r="F625" i="1" s="1"/>
  <c r="X624" i="1"/>
  <c r="O624" i="1" s="1"/>
  <c r="F624" i="1" s="1"/>
  <c r="X644" i="1"/>
  <c r="O644" i="1" s="1"/>
  <c r="F644" i="1" s="1"/>
  <c r="X595" i="1"/>
  <c r="O595" i="1" s="1"/>
  <c r="F595" i="1" s="1"/>
  <c r="X594" i="1"/>
  <c r="O594" i="1" s="1"/>
  <c r="F594" i="1" s="1"/>
  <c r="X669" i="1"/>
  <c r="O669" i="1" s="1"/>
  <c r="F669" i="1" s="1"/>
  <c r="X654" i="1"/>
  <c r="O654" i="1" s="1"/>
  <c r="F654" i="1" s="1"/>
  <c r="X645" i="1"/>
  <c r="O645" i="1" s="1"/>
  <c r="F645" i="1" s="1"/>
  <c r="X610" i="1"/>
  <c r="O610" i="1" s="1"/>
  <c r="F610" i="1" s="1"/>
  <c r="X609" i="1"/>
  <c r="O609" i="1" s="1"/>
  <c r="F609" i="1" s="1"/>
  <c r="X596" i="1"/>
  <c r="O596" i="1" s="1"/>
  <c r="F596" i="1" s="1"/>
  <c r="X611" i="1"/>
  <c r="O611" i="1" s="1"/>
  <c r="F611" i="1" s="1"/>
  <c r="AL512" i="1"/>
  <c r="AL508" i="1"/>
  <c r="AL502" i="1"/>
  <c r="AL498" i="1"/>
  <c r="AL492" i="1"/>
  <c r="AL488" i="1"/>
  <c r="AL482" i="1"/>
  <c r="AL513" i="1"/>
  <c r="AL509" i="1"/>
  <c r="AL505" i="1"/>
  <c r="AL504" i="1"/>
  <c r="AL503" i="1"/>
  <c r="AL499" i="1"/>
  <c r="AL495" i="1"/>
  <c r="AL494" i="1"/>
  <c r="AL493" i="1"/>
  <c r="AL489" i="1"/>
  <c r="AL485" i="1"/>
  <c r="AL484" i="1"/>
  <c r="AL483" i="1"/>
  <c r="AL510" i="1"/>
  <c r="AL506" i="1"/>
  <c r="AL500" i="1"/>
  <c r="AL496" i="1"/>
  <c r="AL486" i="1"/>
  <c r="AL476" i="1"/>
  <c r="AL470" i="1"/>
  <c r="AL466" i="1"/>
  <c r="AL491" i="1"/>
  <c r="AL490" i="1"/>
  <c r="AL501" i="1"/>
  <c r="AL479" i="1"/>
  <c r="AL475" i="1"/>
  <c r="AL474" i="1"/>
  <c r="AL473" i="1"/>
  <c r="AL469" i="1"/>
  <c r="AL507" i="1"/>
  <c r="AL497" i="1"/>
  <c r="AL511" i="1"/>
  <c r="AL480" i="1"/>
  <c r="AL462" i="1"/>
  <c r="AL458" i="1"/>
  <c r="AL477" i="1"/>
  <c r="AL468" i="1"/>
  <c r="AL463" i="1"/>
  <c r="AL478" i="1"/>
  <c r="AL464" i="1"/>
  <c r="AL454" i="1"/>
  <c r="AL449" i="1"/>
  <c r="AL487" i="1"/>
  <c r="AL448" i="1"/>
  <c r="AL444" i="1"/>
  <c r="AL460" i="1"/>
  <c r="AL452" i="1"/>
  <c r="AL447" i="1"/>
  <c r="AL471" i="1"/>
  <c r="AL459" i="1"/>
  <c r="AL453" i="1"/>
  <c r="AL481" i="1"/>
  <c r="AL465" i="1"/>
  <c r="AL455" i="1"/>
  <c r="AL450" i="1"/>
  <c r="AL445" i="1"/>
  <c r="AL456" i="1"/>
  <c r="AL472" i="1"/>
  <c r="AL467" i="1"/>
  <c r="AL451" i="1"/>
  <c r="AL446" i="1"/>
  <c r="AL461" i="1"/>
  <c r="AL457" i="1"/>
  <c r="T452" i="1"/>
  <c r="T490" i="1"/>
  <c r="T453" i="1"/>
  <c r="T501" i="1"/>
  <c r="T482" i="1"/>
  <c r="T459" i="1"/>
  <c r="T506" i="1"/>
  <c r="T465" i="1"/>
  <c r="T504" i="1"/>
  <c r="T510" i="1"/>
  <c r="T477" i="1"/>
  <c r="T460" i="1"/>
  <c r="T448" i="1"/>
  <c r="T491" i="1"/>
  <c r="T497" i="1"/>
  <c r="T451" i="1"/>
  <c r="T508" i="1"/>
  <c r="T481" i="1"/>
  <c r="T466" i="1"/>
  <c r="T498" i="1"/>
  <c r="T484" i="1"/>
  <c r="T494" i="1"/>
  <c r="T455" i="1"/>
  <c r="T478" i="1"/>
  <c r="T483" i="1"/>
  <c r="T463" i="1"/>
  <c r="T470" i="1"/>
  <c r="T505" i="1"/>
  <c r="T489" i="1"/>
  <c r="T499" i="1"/>
  <c r="T488" i="1"/>
  <c r="T509" i="1"/>
  <c r="T474" i="1"/>
  <c r="T476" i="1"/>
  <c r="T445" i="1"/>
  <c r="T461" i="1"/>
  <c r="T454" i="1"/>
  <c r="T495" i="1"/>
  <c r="T492" i="1"/>
  <c r="T458" i="1"/>
  <c r="T486" i="1"/>
  <c r="T469" i="1"/>
  <c r="T487" i="1"/>
  <c r="T471" i="1"/>
  <c r="T464" i="1"/>
  <c r="T472" i="1"/>
  <c r="T475" i="1"/>
  <c r="T503" i="1"/>
  <c r="T444" i="1"/>
  <c r="T457" i="1"/>
  <c r="T446" i="1"/>
  <c r="T493" i="1"/>
  <c r="T479" i="1"/>
  <c r="T502" i="1"/>
  <c r="T456" i="1"/>
  <c r="T467" i="1"/>
  <c r="T513" i="1"/>
  <c r="T500" i="1"/>
  <c r="T447" i="1"/>
  <c r="T449" i="1"/>
  <c r="T485" i="1"/>
  <c r="T473" i="1"/>
  <c r="T450" i="1"/>
  <c r="T507" i="1"/>
  <c r="T496" i="1"/>
  <c r="T511" i="1"/>
  <c r="T462" i="1"/>
  <c r="T468" i="1"/>
  <c r="T480" i="1"/>
  <c r="T512" i="1"/>
  <c r="AN504" i="1"/>
  <c r="AN494" i="1"/>
  <c r="AN500" i="1"/>
  <c r="AN492" i="1"/>
  <c r="AN490" i="1"/>
  <c r="AN506" i="1"/>
  <c r="AN498" i="1"/>
  <c r="AN480" i="1"/>
  <c r="AN508" i="1"/>
  <c r="AN484" i="1"/>
  <c r="AN478" i="1"/>
  <c r="AN472" i="1"/>
  <c r="AN468" i="1"/>
  <c r="AN488" i="1"/>
  <c r="AN482" i="1"/>
  <c r="AN462" i="1"/>
  <c r="AN458" i="1"/>
  <c r="AN476" i="1"/>
  <c r="AN474" i="1"/>
  <c r="AN496" i="1"/>
  <c r="AN454" i="1"/>
  <c r="AN444" i="1"/>
  <c r="AN470" i="1"/>
  <c r="AN464" i="1"/>
  <c r="AN512" i="1"/>
  <c r="AN456" i="1"/>
  <c r="AN446" i="1"/>
  <c r="AN448" i="1"/>
  <c r="AN510" i="1"/>
  <c r="AN502" i="1"/>
  <c r="AN466" i="1"/>
  <c r="AN460" i="1"/>
  <c r="AN452" i="1"/>
  <c r="AN486" i="1"/>
  <c r="AN450" i="1"/>
  <c r="X505" i="1"/>
  <c r="O505" i="1" s="1"/>
  <c r="F505" i="1" s="1"/>
  <c r="X504" i="1"/>
  <c r="O504" i="1" s="1"/>
  <c r="F504" i="1" s="1"/>
  <c r="X495" i="1"/>
  <c r="O495" i="1" s="1"/>
  <c r="F495" i="1" s="1"/>
  <c r="X494" i="1"/>
  <c r="O494" i="1" s="1"/>
  <c r="F494" i="1" s="1"/>
  <c r="X485" i="1"/>
  <c r="O485" i="1" s="1"/>
  <c r="F485" i="1" s="1"/>
  <c r="X484" i="1"/>
  <c r="O484" i="1" s="1"/>
  <c r="F484" i="1" s="1"/>
  <c r="X475" i="1"/>
  <c r="O475" i="1" s="1"/>
  <c r="F475" i="1" s="1"/>
  <c r="X474" i="1"/>
  <c r="O474" i="1" s="1"/>
  <c r="F474" i="1" s="1"/>
  <c r="X464" i="1"/>
  <c r="O464" i="1" s="1"/>
  <c r="F464" i="1" s="1"/>
  <c r="X454" i="1"/>
  <c r="O454" i="1" s="1"/>
  <c r="F454" i="1" s="1"/>
  <c r="X444" i="1"/>
  <c r="O444" i="1" s="1"/>
  <c r="F444" i="1" s="1"/>
  <c r="X465" i="1"/>
  <c r="O465" i="1" s="1"/>
  <c r="F465" i="1" s="1"/>
  <c r="X455" i="1"/>
  <c r="O455" i="1" s="1"/>
  <c r="F455" i="1" s="1"/>
  <c r="X445" i="1"/>
  <c r="O445" i="1" s="1"/>
  <c r="F445" i="1" s="1"/>
  <c r="V505" i="1"/>
  <c r="V504" i="1"/>
  <c r="V495" i="1"/>
  <c r="V494" i="1"/>
  <c r="W504" i="1"/>
  <c r="N504" i="1" s="1"/>
  <c r="G504" i="1" s="1"/>
  <c r="W485" i="1"/>
  <c r="N485" i="1" s="1"/>
  <c r="G485" i="1" s="1"/>
  <c r="V475" i="1"/>
  <c r="V474" i="1"/>
  <c r="V465" i="1"/>
  <c r="V485" i="1"/>
  <c r="V484" i="1"/>
  <c r="W494" i="1"/>
  <c r="N494" i="1" s="1"/>
  <c r="G494" i="1" s="1"/>
  <c r="W484" i="1"/>
  <c r="N484" i="1" s="1"/>
  <c r="G484" i="1" s="1"/>
  <c r="W464" i="1"/>
  <c r="N464" i="1" s="1"/>
  <c r="G464" i="1" s="1"/>
  <c r="W495" i="1"/>
  <c r="N495" i="1" s="1"/>
  <c r="G495" i="1" s="1"/>
  <c r="W474" i="1"/>
  <c r="N474" i="1" s="1"/>
  <c r="G474" i="1" s="1"/>
  <c r="V464" i="1"/>
  <c r="W465" i="1"/>
  <c r="N465" i="1" s="1"/>
  <c r="G465" i="1" s="1"/>
  <c r="V455" i="1"/>
  <c r="V445" i="1"/>
  <c r="W505" i="1"/>
  <c r="N505" i="1" s="1"/>
  <c r="G505" i="1" s="1"/>
  <c r="W454" i="1"/>
  <c r="N454" i="1" s="1"/>
  <c r="G454" i="1" s="1"/>
  <c r="V454" i="1"/>
  <c r="W444" i="1"/>
  <c r="N444" i="1" s="1"/>
  <c r="G444" i="1" s="1"/>
  <c r="V444" i="1"/>
  <c r="W475" i="1"/>
  <c r="N475" i="1" s="1"/>
  <c r="G475" i="1" s="1"/>
  <c r="W455" i="1"/>
  <c r="N455" i="1" s="1"/>
  <c r="G455" i="1" s="1"/>
  <c r="W445" i="1"/>
  <c r="N445" i="1" s="1"/>
  <c r="G445" i="1" s="1"/>
  <c r="Z513" i="1"/>
  <c r="Z509" i="1"/>
  <c r="Z505" i="1"/>
  <c r="Z504" i="1"/>
  <c r="Z503" i="1"/>
  <c r="Z499" i="1"/>
  <c r="Z495" i="1"/>
  <c r="Z494" i="1"/>
  <c r="Z493" i="1"/>
  <c r="Z489" i="1"/>
  <c r="Z485" i="1"/>
  <c r="Z484" i="1"/>
  <c r="Z483" i="1"/>
  <c r="Z510" i="1"/>
  <c r="Z506" i="1"/>
  <c r="Z500" i="1"/>
  <c r="Z496" i="1"/>
  <c r="Z490" i="1"/>
  <c r="Z486" i="1"/>
  <c r="Z480" i="1"/>
  <c r="Z511" i="1"/>
  <c r="Z507" i="1"/>
  <c r="Z501" i="1"/>
  <c r="Z497" i="1"/>
  <c r="Z491" i="1"/>
  <c r="Z502" i="1"/>
  <c r="Z477" i="1"/>
  <c r="Z471" i="1"/>
  <c r="Z467" i="1"/>
  <c r="Z508" i="1"/>
  <c r="Z482" i="1"/>
  <c r="Z492" i="1"/>
  <c r="Z476" i="1"/>
  <c r="Z470" i="1"/>
  <c r="Z468" i="1"/>
  <c r="Z512" i="1"/>
  <c r="Z498" i="1"/>
  <c r="Z469" i="1"/>
  <c r="Z459" i="1"/>
  <c r="Z487" i="1"/>
  <c r="Z481" i="1"/>
  <c r="Z478" i="1"/>
  <c r="Z472" i="1"/>
  <c r="Z466" i="1"/>
  <c r="Z463" i="1"/>
  <c r="Z488" i="1"/>
  <c r="Z448" i="1"/>
  <c r="Z444" i="1"/>
  <c r="Z474" i="1"/>
  <c r="Z453" i="1"/>
  <c r="Z458" i="1"/>
  <c r="Z473" i="1"/>
  <c r="Z460" i="1"/>
  <c r="Z452" i="1"/>
  <c r="Z447" i="1"/>
  <c r="Z461" i="1"/>
  <c r="Z451" i="1"/>
  <c r="Z457" i="1"/>
  <c r="Z456" i="1"/>
  <c r="Z446" i="1"/>
  <c r="Z464" i="1"/>
  <c r="Z454" i="1"/>
  <c r="Z449" i="1"/>
  <c r="Z465" i="1"/>
  <c r="Z450" i="1"/>
  <c r="Z475" i="1"/>
  <c r="Z479" i="1"/>
  <c r="Z455" i="1"/>
  <c r="Z462" i="1"/>
  <c r="Z445" i="1"/>
  <c r="AN513" i="1"/>
  <c r="AN509" i="1"/>
  <c r="AN505" i="1"/>
  <c r="AN503" i="1"/>
  <c r="AN499" i="1"/>
  <c r="AN495" i="1"/>
  <c r="AN493" i="1"/>
  <c r="AN489" i="1"/>
  <c r="AN491" i="1"/>
  <c r="AN497" i="1"/>
  <c r="AN485" i="1"/>
  <c r="AN477" i="1"/>
  <c r="AN507" i="1"/>
  <c r="AN487" i="1"/>
  <c r="AN481" i="1"/>
  <c r="AN511" i="1"/>
  <c r="AN501" i="1"/>
  <c r="AN467" i="1"/>
  <c r="AN459" i="1"/>
  <c r="AN455" i="1"/>
  <c r="AN453" i="1"/>
  <c r="AN449" i="1"/>
  <c r="AN445" i="1"/>
  <c r="AN461" i="1"/>
  <c r="AN457" i="1"/>
  <c r="AN451" i="1"/>
  <c r="AN447" i="1"/>
  <c r="AN473" i="1"/>
  <c r="AN471" i="1"/>
  <c r="AN469" i="1"/>
  <c r="AN463" i="1"/>
  <c r="AN483" i="1"/>
  <c r="AN479" i="1"/>
  <c r="AN475" i="1"/>
  <c r="AN465" i="1"/>
  <c r="U374" i="1"/>
  <c r="U512" i="1"/>
  <c r="U508" i="1"/>
  <c r="U502" i="1"/>
  <c r="U498" i="1"/>
  <c r="U492" i="1"/>
  <c r="U488" i="1"/>
  <c r="U506" i="1"/>
  <c r="U487" i="1"/>
  <c r="U486" i="1"/>
  <c r="U481" i="1"/>
  <c r="U510" i="1"/>
  <c r="U504" i="1"/>
  <c r="U491" i="1"/>
  <c r="U490" i="1"/>
  <c r="U476" i="1"/>
  <c r="U475" i="1"/>
  <c r="U474" i="1"/>
  <c r="U501" i="1"/>
  <c r="U499" i="1"/>
  <c r="U495" i="1"/>
  <c r="U477" i="1"/>
  <c r="U471" i="1"/>
  <c r="U467" i="1"/>
  <c r="U513" i="1"/>
  <c r="U496" i="1"/>
  <c r="U489" i="1"/>
  <c r="U511" i="1"/>
  <c r="U503" i="1"/>
  <c r="U500" i="1"/>
  <c r="U494" i="1"/>
  <c r="U461" i="1"/>
  <c r="U457" i="1"/>
  <c r="U485" i="1"/>
  <c r="U484" i="1"/>
  <c r="U509" i="1"/>
  <c r="U483" i="1"/>
  <c r="U468" i="1"/>
  <c r="U464" i="1"/>
  <c r="U462" i="1"/>
  <c r="U458" i="1"/>
  <c r="U452" i="1"/>
  <c r="U448" i="1"/>
  <c r="U497" i="1"/>
  <c r="U493" i="1"/>
  <c r="U460" i="1"/>
  <c r="U456" i="1"/>
  <c r="U455" i="1"/>
  <c r="U454" i="1"/>
  <c r="U450" i="1"/>
  <c r="U446" i="1"/>
  <c r="U445" i="1"/>
  <c r="U480" i="1"/>
  <c r="U478" i="1"/>
  <c r="U465" i="1"/>
  <c r="U473" i="1"/>
  <c r="U447" i="1"/>
  <c r="U444" i="1"/>
  <c r="U482" i="1"/>
  <c r="U507" i="1"/>
  <c r="U469" i="1"/>
  <c r="U466" i="1"/>
  <c r="U449" i="1"/>
  <c r="U463" i="1"/>
  <c r="U505" i="1"/>
  <c r="U459" i="1"/>
  <c r="U453" i="1"/>
  <c r="U470" i="1"/>
  <c r="U451" i="1"/>
  <c r="U479" i="1"/>
  <c r="U472" i="1"/>
  <c r="X512" i="1"/>
  <c r="O512" i="1" s="1"/>
  <c r="F512" i="1" s="1"/>
  <c r="X508" i="1"/>
  <c r="O508" i="1" s="1"/>
  <c r="F508" i="1" s="1"/>
  <c r="X502" i="1"/>
  <c r="O502" i="1" s="1"/>
  <c r="F502" i="1" s="1"/>
  <c r="X498" i="1"/>
  <c r="O498" i="1" s="1"/>
  <c r="F498" i="1" s="1"/>
  <c r="X492" i="1"/>
  <c r="O492" i="1" s="1"/>
  <c r="F492" i="1" s="1"/>
  <c r="X488" i="1"/>
  <c r="O488" i="1" s="1"/>
  <c r="F488" i="1" s="1"/>
  <c r="X482" i="1"/>
  <c r="O482" i="1" s="1"/>
  <c r="F482" i="1" s="1"/>
  <c r="X513" i="1"/>
  <c r="O513" i="1" s="1"/>
  <c r="F513" i="1" s="1"/>
  <c r="X509" i="1"/>
  <c r="O509" i="1" s="1"/>
  <c r="F509" i="1" s="1"/>
  <c r="X503" i="1"/>
  <c r="O503" i="1" s="1"/>
  <c r="F503" i="1" s="1"/>
  <c r="X499" i="1"/>
  <c r="O499" i="1" s="1"/>
  <c r="F499" i="1" s="1"/>
  <c r="X493" i="1"/>
  <c r="O493" i="1" s="1"/>
  <c r="F493" i="1" s="1"/>
  <c r="X489" i="1"/>
  <c r="O489" i="1" s="1"/>
  <c r="F489" i="1" s="1"/>
  <c r="X483" i="1"/>
  <c r="O483" i="1" s="1"/>
  <c r="F483" i="1" s="1"/>
  <c r="X510" i="1"/>
  <c r="O510" i="1" s="1"/>
  <c r="F510" i="1" s="1"/>
  <c r="X506" i="1"/>
  <c r="O506" i="1" s="1"/>
  <c r="F506" i="1" s="1"/>
  <c r="X500" i="1"/>
  <c r="O500" i="1" s="1"/>
  <c r="F500" i="1" s="1"/>
  <c r="X496" i="1"/>
  <c r="O496" i="1" s="1"/>
  <c r="F496" i="1" s="1"/>
  <c r="X491" i="1"/>
  <c r="O491" i="1" s="1"/>
  <c r="F491" i="1" s="1"/>
  <c r="X490" i="1"/>
  <c r="O490" i="1" s="1"/>
  <c r="F490" i="1" s="1"/>
  <c r="X476" i="1"/>
  <c r="O476" i="1" s="1"/>
  <c r="F476" i="1" s="1"/>
  <c r="X470" i="1"/>
  <c r="O470" i="1" s="1"/>
  <c r="F470" i="1" s="1"/>
  <c r="X466" i="1"/>
  <c r="O466" i="1" s="1"/>
  <c r="F466" i="1" s="1"/>
  <c r="X497" i="1"/>
  <c r="O497" i="1" s="1"/>
  <c r="F497" i="1" s="1"/>
  <c r="X480" i="1"/>
  <c r="O480" i="1" s="1"/>
  <c r="F480" i="1" s="1"/>
  <c r="X507" i="1"/>
  <c r="O507" i="1" s="1"/>
  <c r="F507" i="1" s="1"/>
  <c r="X479" i="1"/>
  <c r="O479" i="1" s="1"/>
  <c r="F479" i="1" s="1"/>
  <c r="X473" i="1"/>
  <c r="O473" i="1" s="1"/>
  <c r="F473" i="1" s="1"/>
  <c r="X469" i="1"/>
  <c r="O469" i="1" s="1"/>
  <c r="F469" i="1" s="1"/>
  <c r="X477" i="1"/>
  <c r="O477" i="1" s="1"/>
  <c r="F477" i="1" s="1"/>
  <c r="X468" i="1"/>
  <c r="O468" i="1" s="1"/>
  <c r="F468" i="1" s="1"/>
  <c r="X462" i="1"/>
  <c r="O462" i="1" s="1"/>
  <c r="F462" i="1" s="1"/>
  <c r="X458" i="1"/>
  <c r="O458" i="1" s="1"/>
  <c r="F458" i="1" s="1"/>
  <c r="X467" i="1"/>
  <c r="O467" i="1" s="1"/>
  <c r="F467" i="1" s="1"/>
  <c r="X449" i="1"/>
  <c r="O449" i="1" s="1"/>
  <c r="F449" i="1" s="1"/>
  <c r="X472" i="1"/>
  <c r="O472" i="1" s="1"/>
  <c r="F472" i="1" s="1"/>
  <c r="X481" i="1"/>
  <c r="O481" i="1" s="1"/>
  <c r="F481" i="1" s="1"/>
  <c r="X459" i="1"/>
  <c r="O459" i="1" s="1"/>
  <c r="F459" i="1" s="1"/>
  <c r="X460" i="1"/>
  <c r="O460" i="1" s="1"/>
  <c r="F460" i="1" s="1"/>
  <c r="X457" i="1"/>
  <c r="O457" i="1" s="1"/>
  <c r="F457" i="1" s="1"/>
  <c r="X501" i="1"/>
  <c r="O501" i="1" s="1"/>
  <c r="F501" i="1" s="1"/>
  <c r="X471" i="1"/>
  <c r="O471" i="1" s="1"/>
  <c r="F471" i="1" s="1"/>
  <c r="X453" i="1"/>
  <c r="O453" i="1" s="1"/>
  <c r="F453" i="1" s="1"/>
  <c r="X448" i="1"/>
  <c r="O448" i="1" s="1"/>
  <c r="F448" i="1" s="1"/>
  <c r="X452" i="1"/>
  <c r="O452" i="1" s="1"/>
  <c r="F452" i="1" s="1"/>
  <c r="X486" i="1"/>
  <c r="O486" i="1" s="1"/>
  <c r="F486" i="1" s="1"/>
  <c r="X487" i="1"/>
  <c r="O487" i="1" s="1"/>
  <c r="F487" i="1" s="1"/>
  <c r="X463" i="1"/>
  <c r="O463" i="1" s="1"/>
  <c r="F463" i="1" s="1"/>
  <c r="X447" i="1"/>
  <c r="O447" i="1" s="1"/>
  <c r="F447" i="1" s="1"/>
  <c r="X511" i="1"/>
  <c r="O511" i="1" s="1"/>
  <c r="F511" i="1" s="1"/>
  <c r="X478" i="1"/>
  <c r="O478" i="1" s="1"/>
  <c r="F478" i="1" s="1"/>
  <c r="X450" i="1"/>
  <c r="O450" i="1" s="1"/>
  <c r="F450" i="1" s="1"/>
  <c r="X451" i="1"/>
  <c r="O451" i="1" s="1"/>
  <c r="F451" i="1" s="1"/>
  <c r="X446" i="1"/>
  <c r="O446" i="1" s="1"/>
  <c r="F446" i="1" s="1"/>
  <c r="X461" i="1"/>
  <c r="O461" i="1" s="1"/>
  <c r="F461" i="1" s="1"/>
  <c r="X456" i="1"/>
  <c r="O456" i="1" s="1"/>
  <c r="F456" i="1" s="1"/>
  <c r="S511" i="1"/>
  <c r="E511" i="1" s="1"/>
  <c r="S507" i="1"/>
  <c r="E507" i="1" s="1"/>
  <c r="S501" i="1"/>
  <c r="E501" i="1" s="1"/>
  <c r="S497" i="1"/>
  <c r="E497" i="1" s="1"/>
  <c r="S491" i="1"/>
  <c r="E491" i="1" s="1"/>
  <c r="S487" i="1"/>
  <c r="E487" i="1" s="1"/>
  <c r="S496" i="1"/>
  <c r="E496" i="1" s="1"/>
  <c r="S492" i="1"/>
  <c r="E492" i="1" s="1"/>
  <c r="S489" i="1"/>
  <c r="E489" i="1" s="1"/>
  <c r="S500" i="1"/>
  <c r="E500" i="1" s="1"/>
  <c r="S498" i="1"/>
  <c r="E498" i="1" s="1"/>
  <c r="S494" i="1"/>
  <c r="E494" i="1" s="1"/>
  <c r="S481" i="1"/>
  <c r="E481" i="1" s="1"/>
  <c r="S479" i="1"/>
  <c r="E479" i="1" s="1"/>
  <c r="S510" i="1"/>
  <c r="E510" i="1" s="1"/>
  <c r="S508" i="1"/>
  <c r="E508" i="1" s="1"/>
  <c r="S504" i="1"/>
  <c r="E504" i="1" s="1"/>
  <c r="S493" i="1"/>
  <c r="E493" i="1" s="1"/>
  <c r="S490" i="1"/>
  <c r="E490" i="1" s="1"/>
  <c r="S476" i="1"/>
  <c r="E476" i="1" s="1"/>
  <c r="S475" i="1"/>
  <c r="E475" i="1" s="1"/>
  <c r="S474" i="1"/>
  <c r="E474" i="1" s="1"/>
  <c r="S470" i="1"/>
  <c r="E470" i="1" s="1"/>
  <c r="S466" i="1"/>
  <c r="E466" i="1" s="1"/>
  <c r="S465" i="1"/>
  <c r="E465" i="1" s="1"/>
  <c r="S464" i="1"/>
  <c r="E464" i="1" s="1"/>
  <c r="S509" i="1"/>
  <c r="E509" i="1" s="1"/>
  <c r="S488" i="1"/>
  <c r="E488" i="1" s="1"/>
  <c r="S484" i="1"/>
  <c r="E484" i="1" s="1"/>
  <c r="S483" i="1"/>
  <c r="E483" i="1" s="1"/>
  <c r="S482" i="1"/>
  <c r="E482" i="1" s="1"/>
  <c r="S480" i="1"/>
  <c r="E480" i="1" s="1"/>
  <c r="S460" i="1"/>
  <c r="E460" i="1" s="1"/>
  <c r="S506" i="1"/>
  <c r="E506" i="1" s="1"/>
  <c r="S503" i="1"/>
  <c r="E503" i="1" s="1"/>
  <c r="S512" i="1"/>
  <c r="E512" i="1" s="1"/>
  <c r="S485" i="1"/>
  <c r="E485" i="1" s="1"/>
  <c r="S477" i="1"/>
  <c r="E477" i="1" s="1"/>
  <c r="S461" i="1"/>
  <c r="E461" i="1" s="1"/>
  <c r="S457" i="1"/>
  <c r="E457" i="1" s="1"/>
  <c r="S451" i="1"/>
  <c r="E451" i="1" s="1"/>
  <c r="S447" i="1"/>
  <c r="E447" i="1" s="1"/>
  <c r="S513" i="1"/>
  <c r="E513" i="1" s="1"/>
  <c r="S486" i="1"/>
  <c r="E486" i="1" s="1"/>
  <c r="S473" i="1"/>
  <c r="E473" i="1" s="1"/>
  <c r="S471" i="1"/>
  <c r="E471" i="1" s="1"/>
  <c r="S459" i="1"/>
  <c r="E459" i="1" s="1"/>
  <c r="S453" i="1"/>
  <c r="E453" i="1" s="1"/>
  <c r="S449" i="1"/>
  <c r="E449" i="1" s="1"/>
  <c r="S502" i="1"/>
  <c r="E502" i="1" s="1"/>
  <c r="S495" i="1"/>
  <c r="E495" i="1" s="1"/>
  <c r="S462" i="1"/>
  <c r="E462" i="1" s="1"/>
  <c r="S448" i="1"/>
  <c r="E448" i="1" s="1"/>
  <c r="S478" i="1"/>
  <c r="E478" i="1" s="1"/>
  <c r="S450" i="1"/>
  <c r="E450" i="1" s="1"/>
  <c r="S454" i="1"/>
  <c r="E454" i="1" s="1"/>
  <c r="S469" i="1"/>
  <c r="E469" i="1" s="1"/>
  <c r="S468" i="1"/>
  <c r="E468" i="1" s="1"/>
  <c r="S455" i="1"/>
  <c r="E455" i="1" s="1"/>
  <c r="S445" i="1"/>
  <c r="E445" i="1" s="1"/>
  <c r="S505" i="1"/>
  <c r="E505" i="1" s="1"/>
  <c r="S499" i="1"/>
  <c r="E499" i="1" s="1"/>
  <c r="S456" i="1"/>
  <c r="E456" i="1" s="1"/>
  <c r="S446" i="1"/>
  <c r="E446" i="1" s="1"/>
  <c r="S472" i="1"/>
  <c r="E472" i="1" s="1"/>
  <c r="S452" i="1"/>
  <c r="E452" i="1" s="1"/>
  <c r="S444" i="1"/>
  <c r="E444" i="1" s="1"/>
  <c r="S458" i="1"/>
  <c r="E458" i="1" s="1"/>
  <c r="S463" i="1"/>
  <c r="E463" i="1" s="1"/>
  <c r="S467" i="1"/>
  <c r="E467" i="1" s="1"/>
  <c r="V367" i="1"/>
  <c r="V366" i="1"/>
  <c r="V351" i="1"/>
  <c r="V350" i="1"/>
  <c r="W371" i="1"/>
  <c r="N371" i="1" s="1"/>
  <c r="G371" i="1" s="1"/>
  <c r="W370" i="1"/>
  <c r="N370" i="1" s="1"/>
  <c r="G370" i="1" s="1"/>
  <c r="W355" i="1"/>
  <c r="N355" i="1" s="1"/>
  <c r="G355" i="1" s="1"/>
  <c r="W354" i="1"/>
  <c r="N354" i="1" s="1"/>
  <c r="G354" i="1" s="1"/>
  <c r="V371" i="1"/>
  <c r="V370" i="1"/>
  <c r="V355" i="1"/>
  <c r="V354" i="1"/>
  <c r="W359" i="1"/>
  <c r="N359" i="1" s="1"/>
  <c r="G359" i="1" s="1"/>
  <c r="W358" i="1"/>
  <c r="N358" i="1" s="1"/>
  <c r="G358" i="1" s="1"/>
  <c r="V363" i="1"/>
  <c r="V362" i="1"/>
  <c r="V347" i="1"/>
  <c r="V346" i="1"/>
  <c r="W367" i="1"/>
  <c r="N367" i="1" s="1"/>
  <c r="G367" i="1" s="1"/>
  <c r="W366" i="1"/>
  <c r="N366" i="1" s="1"/>
  <c r="G366" i="1" s="1"/>
  <c r="W351" i="1"/>
  <c r="N351" i="1" s="1"/>
  <c r="G351" i="1" s="1"/>
  <c r="W350" i="1"/>
  <c r="N350" i="1" s="1"/>
  <c r="G350" i="1" s="1"/>
  <c r="W363" i="1"/>
  <c r="N363" i="1" s="1"/>
  <c r="G363" i="1" s="1"/>
  <c r="W362" i="1"/>
  <c r="N362" i="1" s="1"/>
  <c r="G362" i="1" s="1"/>
  <c r="W347" i="1"/>
  <c r="N347" i="1" s="1"/>
  <c r="G347" i="1" s="1"/>
  <c r="W346" i="1"/>
  <c r="N346" i="1" s="1"/>
  <c r="G346" i="1" s="1"/>
  <c r="V358" i="1"/>
  <c r="V359" i="1"/>
  <c r="AN318" i="1"/>
  <c r="AN372" i="1"/>
  <c r="AN358" i="1"/>
  <c r="AN356" i="1"/>
  <c r="AN362" i="1"/>
  <c r="AN360" i="1"/>
  <c r="AN346" i="1"/>
  <c r="AN370" i="1"/>
  <c r="AN368" i="1"/>
  <c r="AN354" i="1"/>
  <c r="AN352" i="1"/>
  <c r="AN366" i="1"/>
  <c r="AN350" i="1"/>
  <c r="AN364" i="1"/>
  <c r="AN348" i="1"/>
  <c r="Z372" i="1"/>
  <c r="Z359" i="1"/>
  <c r="Z358" i="1"/>
  <c r="Z356" i="1"/>
  <c r="Z373" i="1"/>
  <c r="Z357" i="1"/>
  <c r="Z363" i="1"/>
  <c r="Z362" i="1"/>
  <c r="Z360" i="1"/>
  <c r="Z347" i="1"/>
  <c r="Z346" i="1"/>
  <c r="Z361" i="1"/>
  <c r="Z371" i="1"/>
  <c r="Z370" i="1"/>
  <c r="Z368" i="1"/>
  <c r="Z355" i="1"/>
  <c r="Z354" i="1"/>
  <c r="Z352" i="1"/>
  <c r="Z369" i="1"/>
  <c r="Z353" i="1"/>
  <c r="Z365" i="1"/>
  <c r="Z349" i="1"/>
  <c r="Z366" i="1"/>
  <c r="Z350" i="1"/>
  <c r="Z367" i="1"/>
  <c r="Z364" i="1"/>
  <c r="Z351" i="1"/>
  <c r="Z348" i="1"/>
  <c r="X368" i="1"/>
  <c r="O368" i="1" s="1"/>
  <c r="F368" i="1" s="1"/>
  <c r="X352" i="1"/>
  <c r="O352" i="1" s="1"/>
  <c r="F352" i="1" s="1"/>
  <c r="X369" i="1"/>
  <c r="O369" i="1" s="1"/>
  <c r="F369" i="1" s="1"/>
  <c r="X353" i="1"/>
  <c r="O353" i="1" s="1"/>
  <c r="F353" i="1" s="1"/>
  <c r="X372" i="1"/>
  <c r="O372" i="1" s="1"/>
  <c r="F372" i="1" s="1"/>
  <c r="X356" i="1"/>
  <c r="O356" i="1" s="1"/>
  <c r="F356" i="1" s="1"/>
  <c r="X373" i="1"/>
  <c r="O373" i="1" s="1"/>
  <c r="F373" i="1" s="1"/>
  <c r="X357" i="1"/>
  <c r="O357" i="1" s="1"/>
  <c r="F357" i="1" s="1"/>
  <c r="X364" i="1"/>
  <c r="O364" i="1" s="1"/>
  <c r="F364" i="1" s="1"/>
  <c r="X348" i="1"/>
  <c r="O348" i="1" s="1"/>
  <c r="F348" i="1" s="1"/>
  <c r="X365" i="1"/>
  <c r="O365" i="1" s="1"/>
  <c r="F365" i="1" s="1"/>
  <c r="X349" i="1"/>
  <c r="O349" i="1" s="1"/>
  <c r="F349" i="1" s="1"/>
  <c r="X361" i="1"/>
  <c r="O361" i="1" s="1"/>
  <c r="F361" i="1" s="1"/>
  <c r="X360" i="1"/>
  <c r="O360" i="1" s="1"/>
  <c r="F360" i="1" s="1"/>
  <c r="Y369" i="1"/>
  <c r="T369" i="1" s="1"/>
  <c r="Y353" i="1"/>
  <c r="T353" i="1" s="1"/>
  <c r="Y372" i="1"/>
  <c r="T372" i="1" s="1"/>
  <c r="Y359" i="1"/>
  <c r="T359" i="1" s="1"/>
  <c r="Y358" i="1"/>
  <c r="T358" i="1" s="1"/>
  <c r="Y356" i="1"/>
  <c r="T356" i="1" s="1"/>
  <c r="Y373" i="1"/>
  <c r="T373" i="1" s="1"/>
  <c r="Y357" i="1"/>
  <c r="T357" i="1" s="1"/>
  <c r="Y363" i="1"/>
  <c r="T363" i="1" s="1"/>
  <c r="Y362" i="1"/>
  <c r="T362" i="1" s="1"/>
  <c r="Y360" i="1"/>
  <c r="T360" i="1" s="1"/>
  <c r="Y347" i="1"/>
  <c r="T347" i="1" s="1"/>
  <c r="Y346" i="1"/>
  <c r="T346" i="1" s="1"/>
  <c r="Y365" i="1"/>
  <c r="T365" i="1" s="1"/>
  <c r="Y349" i="1"/>
  <c r="T349" i="1" s="1"/>
  <c r="Y371" i="1"/>
  <c r="T371" i="1" s="1"/>
  <c r="Y370" i="1"/>
  <c r="T370" i="1" s="1"/>
  <c r="Y368" i="1"/>
  <c r="T368" i="1" s="1"/>
  <c r="Y355" i="1"/>
  <c r="T355" i="1" s="1"/>
  <c r="Y354" i="1"/>
  <c r="T354" i="1" s="1"/>
  <c r="Y352" i="1"/>
  <c r="T352" i="1" s="1"/>
  <c r="Y366" i="1"/>
  <c r="T366" i="1" s="1"/>
  <c r="Y361" i="1"/>
  <c r="T361" i="1" s="1"/>
  <c r="Y350" i="1"/>
  <c r="T350" i="1" s="1"/>
  <c r="Y367" i="1"/>
  <c r="T367" i="1" s="1"/>
  <c r="Y364" i="1"/>
  <c r="T364" i="1" s="1"/>
  <c r="Y351" i="1"/>
  <c r="T351" i="1" s="1"/>
  <c r="Y348" i="1"/>
  <c r="T348" i="1" s="1"/>
  <c r="X371" i="1"/>
  <c r="O371" i="1" s="1"/>
  <c r="F371" i="1" s="1"/>
  <c r="X370" i="1"/>
  <c r="O370" i="1" s="1"/>
  <c r="F370" i="1" s="1"/>
  <c r="X355" i="1"/>
  <c r="O355" i="1" s="1"/>
  <c r="F355" i="1" s="1"/>
  <c r="X354" i="1"/>
  <c r="O354" i="1" s="1"/>
  <c r="F354" i="1" s="1"/>
  <c r="X359" i="1"/>
  <c r="O359" i="1" s="1"/>
  <c r="F359" i="1" s="1"/>
  <c r="X358" i="1"/>
  <c r="O358" i="1" s="1"/>
  <c r="F358" i="1" s="1"/>
  <c r="X367" i="1"/>
  <c r="O367" i="1" s="1"/>
  <c r="F367" i="1" s="1"/>
  <c r="X366" i="1"/>
  <c r="O366" i="1" s="1"/>
  <c r="F366" i="1" s="1"/>
  <c r="X351" i="1"/>
  <c r="O351" i="1" s="1"/>
  <c r="F351" i="1" s="1"/>
  <c r="X350" i="1"/>
  <c r="O350" i="1" s="1"/>
  <c r="F350" i="1" s="1"/>
  <c r="X363" i="1"/>
  <c r="O363" i="1" s="1"/>
  <c r="F363" i="1" s="1"/>
  <c r="X362" i="1"/>
  <c r="O362" i="1" s="1"/>
  <c r="F362" i="1" s="1"/>
  <c r="X347" i="1"/>
  <c r="O347" i="1" s="1"/>
  <c r="F347" i="1" s="1"/>
  <c r="X346" i="1"/>
  <c r="O346" i="1" s="1"/>
  <c r="F346" i="1" s="1"/>
  <c r="AO372" i="1"/>
  <c r="AO356" i="1"/>
  <c r="AO373" i="1"/>
  <c r="AO357" i="1"/>
  <c r="AO360" i="1"/>
  <c r="AO361" i="1"/>
  <c r="AO368" i="1"/>
  <c r="AO352" i="1"/>
  <c r="AO369" i="1"/>
  <c r="AO353" i="1"/>
  <c r="AO365" i="1"/>
  <c r="AO349" i="1"/>
  <c r="AO364" i="1"/>
  <c r="AO348" i="1"/>
  <c r="AN319" i="1"/>
  <c r="AN369" i="1"/>
  <c r="AN353" i="1"/>
  <c r="AN359" i="1"/>
  <c r="AN373" i="1"/>
  <c r="AN357" i="1"/>
  <c r="AN363" i="1"/>
  <c r="AN347" i="1"/>
  <c r="AN365" i="1"/>
  <c r="AN349" i="1"/>
  <c r="AN371" i="1"/>
  <c r="AN355" i="1"/>
  <c r="AN361" i="1"/>
  <c r="AN367" i="1"/>
  <c r="AN351" i="1"/>
  <c r="AL371" i="1"/>
  <c r="AL370" i="1"/>
  <c r="AL368" i="1"/>
  <c r="AL355" i="1"/>
  <c r="AL354" i="1"/>
  <c r="AL352" i="1"/>
  <c r="AL369" i="1"/>
  <c r="AL353" i="1"/>
  <c r="AL372" i="1"/>
  <c r="AL359" i="1"/>
  <c r="AL358" i="1"/>
  <c r="AL356" i="1"/>
  <c r="AL373" i="1"/>
  <c r="AL357" i="1"/>
  <c r="AL367" i="1"/>
  <c r="AL366" i="1"/>
  <c r="AL364" i="1"/>
  <c r="AL351" i="1"/>
  <c r="AL350" i="1"/>
  <c r="AL348" i="1"/>
  <c r="AL365" i="1"/>
  <c r="AL349" i="1"/>
  <c r="AL360" i="1"/>
  <c r="AL363" i="1"/>
  <c r="AL362" i="1"/>
  <c r="AL361" i="1"/>
  <c r="AL347" i="1"/>
  <c r="AL346" i="1"/>
  <c r="S361" i="1"/>
  <c r="E361" i="1" s="1"/>
  <c r="S364" i="1"/>
  <c r="E364" i="1" s="1"/>
  <c r="S363" i="1"/>
  <c r="E363" i="1" s="1"/>
  <c r="S362" i="1"/>
  <c r="E362" i="1" s="1"/>
  <c r="S348" i="1"/>
  <c r="E348" i="1" s="1"/>
  <c r="S347" i="1"/>
  <c r="E347" i="1" s="1"/>
  <c r="S346" i="1"/>
  <c r="E346" i="1" s="1"/>
  <c r="S365" i="1"/>
  <c r="E365" i="1" s="1"/>
  <c r="S349" i="1"/>
  <c r="E349" i="1" s="1"/>
  <c r="S368" i="1"/>
  <c r="E368" i="1" s="1"/>
  <c r="S367" i="1"/>
  <c r="E367" i="1" s="1"/>
  <c r="S366" i="1"/>
  <c r="E366" i="1" s="1"/>
  <c r="S352" i="1"/>
  <c r="E352" i="1" s="1"/>
  <c r="S351" i="1"/>
  <c r="E351" i="1" s="1"/>
  <c r="S350" i="1"/>
  <c r="E350" i="1" s="1"/>
  <c r="S373" i="1"/>
  <c r="E373" i="1" s="1"/>
  <c r="S357" i="1"/>
  <c r="E357" i="1" s="1"/>
  <c r="S360" i="1"/>
  <c r="E360" i="1" s="1"/>
  <c r="S359" i="1"/>
  <c r="E359" i="1" s="1"/>
  <c r="S358" i="1"/>
  <c r="E358" i="1" s="1"/>
  <c r="S371" i="1"/>
  <c r="E371" i="1" s="1"/>
  <c r="S369" i="1"/>
  <c r="E369" i="1" s="1"/>
  <c r="S353" i="1"/>
  <c r="E353" i="1" s="1"/>
  <c r="S370" i="1"/>
  <c r="E370" i="1" s="1"/>
  <c r="S356" i="1"/>
  <c r="E356" i="1" s="1"/>
  <c r="S354" i="1"/>
  <c r="E354" i="1" s="1"/>
  <c r="S372" i="1"/>
  <c r="E372" i="1" s="1"/>
  <c r="S355" i="1"/>
  <c r="E355" i="1" s="1"/>
  <c r="U318" i="1"/>
  <c r="U365" i="1"/>
  <c r="U349" i="1"/>
  <c r="U368" i="1"/>
  <c r="U367" i="1"/>
  <c r="U366" i="1"/>
  <c r="U352" i="1"/>
  <c r="U351" i="1"/>
  <c r="U350" i="1"/>
  <c r="U369" i="1"/>
  <c r="U353" i="1"/>
  <c r="U373" i="1"/>
  <c r="U372" i="1"/>
  <c r="U371" i="1"/>
  <c r="U370" i="1"/>
  <c r="U356" i="1"/>
  <c r="U355" i="1"/>
  <c r="U354" i="1"/>
  <c r="U361" i="1"/>
  <c r="U364" i="1"/>
  <c r="U363" i="1"/>
  <c r="U362" i="1"/>
  <c r="U348" i="1"/>
  <c r="U347" i="1"/>
  <c r="U346" i="1"/>
  <c r="U360" i="1"/>
  <c r="U359" i="1"/>
  <c r="U357" i="1"/>
  <c r="U358" i="1"/>
  <c r="T302" i="1"/>
  <c r="T299" i="1"/>
  <c r="T304" i="1"/>
  <c r="T310" i="1"/>
  <c r="T298" i="1"/>
  <c r="T316" i="1"/>
  <c r="T307" i="1"/>
  <c r="T294" i="1"/>
  <c r="T309" i="1"/>
  <c r="T317" i="1"/>
  <c r="T297" i="1"/>
  <c r="T301" i="1"/>
  <c r="T311" i="1"/>
  <c r="T300" i="1"/>
  <c r="T308" i="1"/>
  <c r="T313" i="1"/>
  <c r="T305" i="1"/>
  <c r="T293" i="1"/>
  <c r="T315" i="1"/>
  <c r="T314" i="1"/>
  <c r="T306" i="1"/>
  <c r="T296" i="1"/>
  <c r="T303" i="1"/>
  <c r="T312" i="1"/>
  <c r="T295" i="1"/>
  <c r="X316" i="1"/>
  <c r="O316" i="1" s="1"/>
  <c r="F316" i="1" s="1"/>
  <c r="X311" i="1"/>
  <c r="O311" i="1" s="1"/>
  <c r="F311" i="1" s="1"/>
  <c r="X306" i="1"/>
  <c r="O306" i="1" s="1"/>
  <c r="F306" i="1" s="1"/>
  <c r="X301" i="1"/>
  <c r="O301" i="1" s="1"/>
  <c r="F301" i="1" s="1"/>
  <c r="X296" i="1"/>
  <c r="O296" i="1" s="1"/>
  <c r="F296" i="1" s="1"/>
  <c r="X317" i="1"/>
  <c r="O317" i="1" s="1"/>
  <c r="F317" i="1" s="1"/>
  <c r="X312" i="1"/>
  <c r="O312" i="1" s="1"/>
  <c r="F312" i="1" s="1"/>
  <c r="X307" i="1"/>
  <c r="O307" i="1" s="1"/>
  <c r="F307" i="1" s="1"/>
  <c r="X302" i="1"/>
  <c r="O302" i="1" s="1"/>
  <c r="F302" i="1" s="1"/>
  <c r="X297" i="1"/>
  <c r="O297" i="1" s="1"/>
  <c r="F297" i="1" s="1"/>
  <c r="X314" i="1"/>
  <c r="O314" i="1" s="1"/>
  <c r="F314" i="1" s="1"/>
  <c r="X309" i="1"/>
  <c r="O309" i="1" s="1"/>
  <c r="F309" i="1" s="1"/>
  <c r="X304" i="1"/>
  <c r="O304" i="1" s="1"/>
  <c r="F304" i="1" s="1"/>
  <c r="X299" i="1"/>
  <c r="O299" i="1" s="1"/>
  <c r="F299" i="1" s="1"/>
  <c r="X294" i="1"/>
  <c r="O294" i="1" s="1"/>
  <c r="F294" i="1" s="1"/>
  <c r="X315" i="1"/>
  <c r="O315" i="1" s="1"/>
  <c r="F315" i="1" s="1"/>
  <c r="X310" i="1"/>
  <c r="O310" i="1" s="1"/>
  <c r="F310" i="1" s="1"/>
  <c r="X305" i="1"/>
  <c r="O305" i="1" s="1"/>
  <c r="F305" i="1" s="1"/>
  <c r="X300" i="1"/>
  <c r="O300" i="1" s="1"/>
  <c r="F300" i="1" s="1"/>
  <c r="X295" i="1"/>
  <c r="O295" i="1" s="1"/>
  <c r="F295" i="1" s="1"/>
  <c r="AN317" i="1"/>
  <c r="AN313" i="1"/>
  <c r="AN312" i="1"/>
  <c r="AN308" i="1"/>
  <c r="AN307" i="1"/>
  <c r="AN315" i="1"/>
  <c r="AN310" i="1"/>
  <c r="AN305" i="1"/>
  <c r="AN316" i="1"/>
  <c r="AN311" i="1"/>
  <c r="AN306" i="1"/>
  <c r="AN301" i="1"/>
  <c r="AN296" i="1"/>
  <c r="AN309" i="1"/>
  <c r="AN298" i="1"/>
  <c r="AN293" i="1"/>
  <c r="AN303" i="1"/>
  <c r="AN297" i="1"/>
  <c r="AN295" i="1"/>
  <c r="AN314" i="1"/>
  <c r="AN302" i="1"/>
  <c r="AN300" i="1"/>
  <c r="AN294" i="1"/>
  <c r="AN299" i="1"/>
  <c r="AN304" i="1"/>
  <c r="U268" i="1"/>
  <c r="U316" i="1"/>
  <c r="U311" i="1"/>
  <c r="U306" i="1"/>
  <c r="U314" i="1"/>
  <c r="U313" i="1"/>
  <c r="U309" i="1"/>
  <c r="U308" i="1"/>
  <c r="U315" i="1"/>
  <c r="U310" i="1"/>
  <c r="U305" i="1"/>
  <c r="U300" i="1"/>
  <c r="U295" i="1"/>
  <c r="U298" i="1"/>
  <c r="U297" i="1"/>
  <c r="U293" i="1"/>
  <c r="U303" i="1"/>
  <c r="U302" i="1"/>
  <c r="U304" i="1"/>
  <c r="U307" i="1"/>
  <c r="U296" i="1"/>
  <c r="U299" i="1"/>
  <c r="U312" i="1"/>
  <c r="U301" i="1"/>
  <c r="U294" i="1"/>
  <c r="U317" i="1"/>
  <c r="V313" i="1"/>
  <c r="V308" i="1"/>
  <c r="V303" i="1"/>
  <c r="V298" i="1"/>
  <c r="V293" i="1"/>
  <c r="W313" i="1"/>
  <c r="N313" i="1" s="1"/>
  <c r="G313" i="1" s="1"/>
  <c r="W303" i="1"/>
  <c r="N303" i="1" s="1"/>
  <c r="G303" i="1" s="1"/>
  <c r="W308" i="1"/>
  <c r="N308" i="1" s="1"/>
  <c r="G308" i="1" s="1"/>
  <c r="W298" i="1"/>
  <c r="N298" i="1" s="1"/>
  <c r="G298" i="1" s="1"/>
  <c r="W293" i="1"/>
  <c r="N293" i="1" s="1"/>
  <c r="G293" i="1" s="1"/>
  <c r="X313" i="1"/>
  <c r="O313" i="1" s="1"/>
  <c r="F313" i="1" s="1"/>
  <c r="X308" i="1"/>
  <c r="O308" i="1" s="1"/>
  <c r="F308" i="1" s="1"/>
  <c r="X303" i="1"/>
  <c r="O303" i="1" s="1"/>
  <c r="F303" i="1" s="1"/>
  <c r="X298" i="1"/>
  <c r="O298" i="1" s="1"/>
  <c r="F298" i="1" s="1"/>
  <c r="X293" i="1"/>
  <c r="O293" i="1" s="1"/>
  <c r="F293" i="1" s="1"/>
  <c r="Z317" i="1"/>
  <c r="Z313" i="1"/>
  <c r="Z312" i="1"/>
  <c r="Z308" i="1"/>
  <c r="Z307" i="1"/>
  <c r="Z303" i="1"/>
  <c r="Z302" i="1"/>
  <c r="Z298" i="1"/>
  <c r="Z297" i="1"/>
  <c r="Z293" i="1"/>
  <c r="Z314" i="1"/>
  <c r="Z309" i="1"/>
  <c r="Z304" i="1"/>
  <c r="Z299" i="1"/>
  <c r="Z294" i="1"/>
  <c r="Z315" i="1"/>
  <c r="Z310" i="1"/>
  <c r="Z305" i="1"/>
  <c r="Z300" i="1"/>
  <c r="Z295" i="1"/>
  <c r="Z316" i="1"/>
  <c r="Z311" i="1"/>
  <c r="Z306" i="1"/>
  <c r="Z301" i="1"/>
  <c r="Z296" i="1"/>
  <c r="S315" i="1"/>
  <c r="E315" i="1" s="1"/>
  <c r="S310" i="1"/>
  <c r="E310" i="1" s="1"/>
  <c r="B310" i="1" s="1"/>
  <c r="S305" i="1"/>
  <c r="E305" i="1" s="1"/>
  <c r="B305" i="1" s="1"/>
  <c r="S317" i="1"/>
  <c r="E317" i="1" s="1"/>
  <c r="S312" i="1"/>
  <c r="E312" i="1" s="1"/>
  <c r="S307" i="1"/>
  <c r="E307" i="1" s="1"/>
  <c r="S314" i="1"/>
  <c r="E314" i="1" s="1"/>
  <c r="S313" i="1"/>
  <c r="E313" i="1" s="1"/>
  <c r="S309" i="1"/>
  <c r="E309" i="1" s="1"/>
  <c r="S308" i="1"/>
  <c r="E308" i="1" s="1"/>
  <c r="S304" i="1"/>
  <c r="E304" i="1" s="1"/>
  <c r="S303" i="1"/>
  <c r="E303" i="1" s="1"/>
  <c r="S299" i="1"/>
  <c r="E299" i="1" s="1"/>
  <c r="S298" i="1"/>
  <c r="E298" i="1" s="1"/>
  <c r="S294" i="1"/>
  <c r="E294" i="1" s="1"/>
  <c r="S293" i="1"/>
  <c r="E293" i="1" s="1"/>
  <c r="S295" i="1"/>
  <c r="E295" i="1" s="1"/>
  <c r="S301" i="1"/>
  <c r="E301" i="1" s="1"/>
  <c r="S300" i="1"/>
  <c r="E300" i="1" s="1"/>
  <c r="S297" i="1"/>
  <c r="E297" i="1" s="1"/>
  <c r="S306" i="1"/>
  <c r="E306" i="1" s="1"/>
  <c r="S302" i="1"/>
  <c r="E302" i="1" s="1"/>
  <c r="S316" i="1"/>
  <c r="E316" i="1" s="1"/>
  <c r="S311" i="1"/>
  <c r="E311" i="1" s="1"/>
  <c r="S296" i="1"/>
  <c r="E296" i="1" s="1"/>
  <c r="AL316" i="1"/>
  <c r="AL311" i="1"/>
  <c r="AL306" i="1"/>
  <c r="AL301" i="1"/>
  <c r="AL296" i="1"/>
  <c r="AL317" i="1"/>
  <c r="AL313" i="1"/>
  <c r="AL312" i="1"/>
  <c r="AL308" i="1"/>
  <c r="AL307" i="1"/>
  <c r="AL303" i="1"/>
  <c r="AL302" i="1"/>
  <c r="AL298" i="1"/>
  <c r="AL297" i="1"/>
  <c r="AL293" i="1"/>
  <c r="AL314" i="1"/>
  <c r="AL309" i="1"/>
  <c r="AL304" i="1"/>
  <c r="AL299" i="1"/>
  <c r="AL294" i="1"/>
  <c r="AL315" i="1"/>
  <c r="AL310" i="1"/>
  <c r="AL305" i="1"/>
  <c r="AL300" i="1"/>
  <c r="AL295" i="1"/>
  <c r="X264" i="1"/>
  <c r="O264" i="1" s="1"/>
  <c r="F264" i="1" s="1"/>
  <c r="X266" i="1"/>
  <c r="O266" i="1" s="1"/>
  <c r="F266" i="1" s="1"/>
  <c r="X258" i="1"/>
  <c r="O258" i="1" s="1"/>
  <c r="F258" i="1" s="1"/>
  <c r="X260" i="1"/>
  <c r="O260" i="1" s="1"/>
  <c r="F260" i="1" s="1"/>
  <c r="X262" i="1"/>
  <c r="O262" i="1" s="1"/>
  <c r="F262" i="1" s="1"/>
  <c r="W262" i="1"/>
  <c r="N262" i="1" s="1"/>
  <c r="G262" i="1" s="1"/>
  <c r="V260" i="1"/>
  <c r="W264" i="1"/>
  <c r="N264" i="1" s="1"/>
  <c r="G264" i="1" s="1"/>
  <c r="V262" i="1"/>
  <c r="W266" i="1"/>
  <c r="N266" i="1" s="1"/>
  <c r="G266" i="1" s="1"/>
  <c r="V264" i="1"/>
  <c r="V266" i="1"/>
  <c r="W258" i="1"/>
  <c r="N258" i="1" s="1"/>
  <c r="G258" i="1" s="1"/>
  <c r="W260" i="1"/>
  <c r="N260" i="1" s="1"/>
  <c r="G260" i="1" s="1"/>
  <c r="V258" i="1"/>
  <c r="U259" i="1"/>
  <c r="U258" i="1"/>
  <c r="U261" i="1"/>
  <c r="U260" i="1"/>
  <c r="U263" i="1"/>
  <c r="U262" i="1"/>
  <c r="U265" i="1"/>
  <c r="U264" i="1"/>
  <c r="U267" i="1"/>
  <c r="U266" i="1"/>
  <c r="X261" i="1"/>
  <c r="O261" i="1" s="1"/>
  <c r="F261" i="1" s="1"/>
  <c r="X263" i="1"/>
  <c r="O263" i="1" s="1"/>
  <c r="F263" i="1" s="1"/>
  <c r="X265" i="1"/>
  <c r="O265" i="1" s="1"/>
  <c r="F265" i="1" s="1"/>
  <c r="X267" i="1"/>
  <c r="O267" i="1" s="1"/>
  <c r="F267" i="1" s="1"/>
  <c r="X259" i="1"/>
  <c r="O259" i="1" s="1"/>
  <c r="F259" i="1" s="1"/>
  <c r="AO265" i="1"/>
  <c r="AO267" i="1"/>
  <c r="AO259" i="1"/>
  <c r="AO261" i="1"/>
  <c r="AO263" i="1"/>
  <c r="Z265" i="1"/>
  <c r="Z267" i="1"/>
  <c r="Z258" i="1"/>
  <c r="Z260" i="1"/>
  <c r="Z262" i="1"/>
  <c r="Z259" i="1"/>
  <c r="Z264" i="1"/>
  <c r="Z261" i="1"/>
  <c r="Z266" i="1"/>
  <c r="Z263" i="1"/>
  <c r="AL264" i="1"/>
  <c r="AL261" i="1"/>
  <c r="AL266" i="1"/>
  <c r="AL263" i="1"/>
  <c r="AL265" i="1"/>
  <c r="AL267" i="1"/>
  <c r="AL258" i="1"/>
  <c r="AL260" i="1"/>
  <c r="AL262" i="1"/>
  <c r="AL259" i="1"/>
  <c r="T262" i="1"/>
  <c r="T266" i="1"/>
  <c r="T265" i="1"/>
  <c r="T260" i="1"/>
  <c r="T258" i="1"/>
  <c r="T267" i="1"/>
  <c r="T261" i="1"/>
  <c r="T263" i="1"/>
  <c r="T259" i="1"/>
  <c r="T264" i="1"/>
  <c r="AN266" i="1"/>
  <c r="AN263" i="1"/>
  <c r="AN265" i="1"/>
  <c r="AN267" i="1"/>
  <c r="AN258" i="1"/>
  <c r="AN260" i="1"/>
  <c r="AN262" i="1"/>
  <c r="AN259" i="1"/>
  <c r="AN264" i="1"/>
  <c r="AN261" i="1"/>
  <c r="S259" i="1"/>
  <c r="E259" i="1" s="1"/>
  <c r="S258" i="1"/>
  <c r="E258" i="1" s="1"/>
  <c r="S261" i="1"/>
  <c r="E261" i="1" s="1"/>
  <c r="S260" i="1"/>
  <c r="E260" i="1" s="1"/>
  <c r="S263" i="1"/>
  <c r="E263" i="1" s="1"/>
  <c r="S262" i="1"/>
  <c r="E262" i="1" s="1"/>
  <c r="S265" i="1"/>
  <c r="E265" i="1" s="1"/>
  <c r="S264" i="1"/>
  <c r="E264" i="1" s="1"/>
  <c r="S267" i="1"/>
  <c r="E267" i="1" s="1"/>
  <c r="S266" i="1"/>
  <c r="E266" i="1" s="1"/>
  <c r="AL246" i="1"/>
  <c r="AL240" i="1"/>
  <c r="AL234" i="1"/>
  <c r="AL247" i="1"/>
  <c r="AL242" i="1"/>
  <c r="AL241" i="1"/>
  <c r="AL236" i="1"/>
  <c r="AL235" i="1"/>
  <c r="AL230" i="1"/>
  <c r="AL229" i="1"/>
  <c r="AL243" i="1"/>
  <c r="AL237" i="1"/>
  <c r="AL231" i="1"/>
  <c r="AL245" i="1"/>
  <c r="AL244" i="1"/>
  <c r="AL239" i="1"/>
  <c r="AL238" i="1"/>
  <c r="AL233" i="1"/>
  <c r="AL232" i="1"/>
  <c r="AL227" i="1"/>
  <c r="AL228" i="1"/>
  <c r="V245" i="1"/>
  <c r="V239" i="1"/>
  <c r="V233" i="1"/>
  <c r="W242" i="1"/>
  <c r="N242" i="1" s="1"/>
  <c r="G242" i="1" s="1"/>
  <c r="W236" i="1"/>
  <c r="N236" i="1" s="1"/>
  <c r="G236" i="1" s="1"/>
  <c r="W230" i="1"/>
  <c r="N230" i="1" s="1"/>
  <c r="G230" i="1" s="1"/>
  <c r="V242" i="1"/>
  <c r="V236" i="1"/>
  <c r="V230" i="1"/>
  <c r="W245" i="1"/>
  <c r="N245" i="1" s="1"/>
  <c r="G245" i="1" s="1"/>
  <c r="W239" i="1"/>
  <c r="N239" i="1" s="1"/>
  <c r="G239" i="1" s="1"/>
  <c r="W233" i="1"/>
  <c r="N233" i="1" s="1"/>
  <c r="G233" i="1" s="1"/>
  <c r="W227" i="1"/>
  <c r="N227" i="1" s="1"/>
  <c r="G227" i="1" s="1"/>
  <c r="V227" i="1"/>
  <c r="AN206" i="1"/>
  <c r="AN247" i="1"/>
  <c r="AN242" i="1"/>
  <c r="AN241" i="1"/>
  <c r="AN236" i="1"/>
  <c r="AN235" i="1"/>
  <c r="AN230" i="1"/>
  <c r="AN229" i="1"/>
  <c r="AN243" i="1"/>
  <c r="AN237" i="1"/>
  <c r="AN231" i="1"/>
  <c r="AN239" i="1"/>
  <c r="AN238" i="1"/>
  <c r="AN233" i="1"/>
  <c r="AN227" i="1"/>
  <c r="AN245" i="1"/>
  <c r="AN244" i="1"/>
  <c r="AN232" i="1"/>
  <c r="AN246" i="1"/>
  <c r="AN240" i="1"/>
  <c r="AN234" i="1"/>
  <c r="AN228" i="1"/>
  <c r="X242" i="1"/>
  <c r="O242" i="1" s="1"/>
  <c r="F242" i="1" s="1"/>
  <c r="X236" i="1"/>
  <c r="O236" i="1" s="1"/>
  <c r="F236" i="1" s="1"/>
  <c r="X230" i="1"/>
  <c r="O230" i="1" s="1"/>
  <c r="F230" i="1" s="1"/>
  <c r="X245" i="1"/>
  <c r="O245" i="1" s="1"/>
  <c r="F245" i="1" s="1"/>
  <c r="X239" i="1"/>
  <c r="O239" i="1" s="1"/>
  <c r="F239" i="1" s="1"/>
  <c r="X233" i="1"/>
  <c r="O233" i="1" s="1"/>
  <c r="F233" i="1" s="1"/>
  <c r="X227" i="1"/>
  <c r="O227" i="1" s="1"/>
  <c r="F227" i="1" s="1"/>
  <c r="U206" i="1"/>
  <c r="U246" i="1"/>
  <c r="U245" i="1"/>
  <c r="U240" i="1"/>
  <c r="U239" i="1"/>
  <c r="U234" i="1"/>
  <c r="U233" i="1"/>
  <c r="U228" i="1"/>
  <c r="U227" i="1"/>
  <c r="U247" i="1"/>
  <c r="U241" i="1"/>
  <c r="U235" i="1"/>
  <c r="U229" i="1"/>
  <c r="U243" i="1"/>
  <c r="U242" i="1"/>
  <c r="U237" i="1"/>
  <c r="U236" i="1"/>
  <c r="U231" i="1"/>
  <c r="U230" i="1"/>
  <c r="U244" i="1"/>
  <c r="U238" i="1"/>
  <c r="U232" i="1"/>
  <c r="T243" i="1"/>
  <c r="T239" i="1"/>
  <c r="T242" i="1"/>
  <c r="T229" i="1"/>
  <c r="T227" i="1"/>
  <c r="T237" i="1"/>
  <c r="T228" i="1"/>
  <c r="T244" i="1"/>
  <c r="T236" i="1"/>
  <c r="T232" i="1"/>
  <c r="T241" i="1"/>
  <c r="T230" i="1"/>
  <c r="T240" i="1"/>
  <c r="T247" i="1"/>
  <c r="T238" i="1"/>
  <c r="T235" i="1"/>
  <c r="T246" i="1"/>
  <c r="T233" i="1"/>
  <c r="T234" i="1"/>
  <c r="T231" i="1"/>
  <c r="T245" i="1"/>
  <c r="X246" i="1"/>
  <c r="O246" i="1" s="1"/>
  <c r="F246" i="1" s="1"/>
  <c r="X240" i="1"/>
  <c r="O240" i="1" s="1"/>
  <c r="F240" i="1" s="1"/>
  <c r="X234" i="1"/>
  <c r="O234" i="1" s="1"/>
  <c r="F234" i="1" s="1"/>
  <c r="X247" i="1"/>
  <c r="O247" i="1" s="1"/>
  <c r="F247" i="1" s="1"/>
  <c r="X241" i="1"/>
  <c r="O241" i="1" s="1"/>
  <c r="F241" i="1" s="1"/>
  <c r="X235" i="1"/>
  <c r="O235" i="1" s="1"/>
  <c r="F235" i="1" s="1"/>
  <c r="X229" i="1"/>
  <c r="O229" i="1" s="1"/>
  <c r="F229" i="1" s="1"/>
  <c r="X243" i="1"/>
  <c r="O243" i="1" s="1"/>
  <c r="F243" i="1" s="1"/>
  <c r="X237" i="1"/>
  <c r="O237" i="1" s="1"/>
  <c r="F237" i="1" s="1"/>
  <c r="X231" i="1"/>
  <c r="O231" i="1" s="1"/>
  <c r="F231" i="1" s="1"/>
  <c r="X244" i="1"/>
  <c r="O244" i="1" s="1"/>
  <c r="F244" i="1" s="1"/>
  <c r="X238" i="1"/>
  <c r="O238" i="1" s="1"/>
  <c r="F238" i="1" s="1"/>
  <c r="X232" i="1"/>
  <c r="O232" i="1" s="1"/>
  <c r="F232" i="1" s="1"/>
  <c r="X228" i="1"/>
  <c r="O228" i="1" s="1"/>
  <c r="F228" i="1" s="1"/>
  <c r="S244" i="1"/>
  <c r="E244" i="1" s="1"/>
  <c r="S238" i="1"/>
  <c r="E238" i="1" s="1"/>
  <c r="S232" i="1"/>
  <c r="E232" i="1" s="1"/>
  <c r="S246" i="1"/>
  <c r="E246" i="1" s="1"/>
  <c r="S245" i="1"/>
  <c r="E245" i="1" s="1"/>
  <c r="S240" i="1"/>
  <c r="E240" i="1" s="1"/>
  <c r="S239" i="1"/>
  <c r="E239" i="1" s="1"/>
  <c r="S234" i="1"/>
  <c r="E234" i="1" s="1"/>
  <c r="S233" i="1"/>
  <c r="E233" i="1" s="1"/>
  <c r="S228" i="1"/>
  <c r="E228" i="1" s="1"/>
  <c r="S227" i="1"/>
  <c r="E227" i="1" s="1"/>
  <c r="S247" i="1"/>
  <c r="E247" i="1" s="1"/>
  <c r="S229" i="1"/>
  <c r="E229" i="1" s="1"/>
  <c r="S241" i="1"/>
  <c r="E241" i="1" s="1"/>
  <c r="S235" i="1"/>
  <c r="E235" i="1" s="1"/>
  <c r="S243" i="1"/>
  <c r="E243" i="1" s="1"/>
  <c r="S242" i="1"/>
  <c r="E242" i="1" s="1"/>
  <c r="S237" i="1"/>
  <c r="E237" i="1" s="1"/>
  <c r="S236" i="1"/>
  <c r="E236" i="1" s="1"/>
  <c r="S231" i="1"/>
  <c r="E231" i="1" s="1"/>
  <c r="S230" i="1"/>
  <c r="E230" i="1" s="1"/>
  <c r="Z247" i="1"/>
  <c r="Z242" i="1"/>
  <c r="Z241" i="1"/>
  <c r="Z236" i="1"/>
  <c r="Z235" i="1"/>
  <c r="Z243" i="1"/>
  <c r="Z237" i="1"/>
  <c r="Z231" i="1"/>
  <c r="Z245" i="1"/>
  <c r="Z244" i="1"/>
  <c r="Z239" i="1"/>
  <c r="Z238" i="1"/>
  <c r="Z233" i="1"/>
  <c r="Z232" i="1"/>
  <c r="Z227" i="1"/>
  <c r="Z246" i="1"/>
  <c r="Z240" i="1"/>
  <c r="Z234" i="1"/>
  <c r="Z228" i="1"/>
  <c r="Z230" i="1"/>
  <c r="Z229" i="1"/>
  <c r="U118" i="1"/>
  <c r="U204" i="1"/>
  <c r="U202" i="1"/>
  <c r="U199" i="1"/>
  <c r="U196" i="1"/>
  <c r="U194" i="1"/>
  <c r="U191" i="1"/>
  <c r="U188" i="1"/>
  <c r="U186" i="1"/>
  <c r="U205" i="1"/>
  <c r="U197" i="1"/>
  <c r="U189" i="1"/>
  <c r="U181" i="1"/>
  <c r="U183" i="1"/>
  <c r="U179" i="1"/>
  <c r="U173" i="1"/>
  <c r="U190" i="1"/>
  <c r="U187" i="1"/>
  <c r="U200" i="1"/>
  <c r="U193" i="1"/>
  <c r="U182" i="1"/>
  <c r="U195" i="1"/>
  <c r="U177" i="1"/>
  <c r="U170" i="1"/>
  <c r="U168" i="1"/>
  <c r="U184" i="1"/>
  <c r="U178" i="1"/>
  <c r="U176" i="1"/>
  <c r="U172" i="1"/>
  <c r="U203" i="1"/>
  <c r="U201" i="1"/>
  <c r="U169" i="1"/>
  <c r="U192" i="1"/>
  <c r="U185" i="1"/>
  <c r="U174" i="1"/>
  <c r="U171" i="1"/>
  <c r="U175" i="1"/>
  <c r="U198" i="1"/>
  <c r="U167" i="1"/>
  <c r="U180" i="1"/>
  <c r="U166" i="1"/>
  <c r="X204" i="1"/>
  <c r="O204" i="1" s="1"/>
  <c r="F204" i="1" s="1"/>
  <c r="X196" i="1"/>
  <c r="O196" i="1" s="1"/>
  <c r="F196" i="1" s="1"/>
  <c r="X188" i="1"/>
  <c r="O188" i="1" s="1"/>
  <c r="F188" i="1" s="1"/>
  <c r="X180" i="1"/>
  <c r="O180" i="1" s="1"/>
  <c r="F180" i="1" s="1"/>
  <c r="X201" i="1"/>
  <c r="O201" i="1" s="1"/>
  <c r="F201" i="1" s="1"/>
  <c r="X193" i="1"/>
  <c r="O193" i="1" s="1"/>
  <c r="F193" i="1" s="1"/>
  <c r="X185" i="1"/>
  <c r="O185" i="1" s="1"/>
  <c r="F185" i="1" s="1"/>
  <c r="X181" i="1"/>
  <c r="O181" i="1" s="1"/>
  <c r="F181" i="1" s="1"/>
  <c r="X172" i="1"/>
  <c r="O172" i="1" s="1"/>
  <c r="F172" i="1" s="1"/>
  <c r="X197" i="1"/>
  <c r="O197" i="1" s="1"/>
  <c r="F197" i="1" s="1"/>
  <c r="X177" i="1"/>
  <c r="O177" i="1" s="1"/>
  <c r="F177" i="1" s="1"/>
  <c r="X169" i="1"/>
  <c r="O169" i="1" s="1"/>
  <c r="F169" i="1" s="1"/>
  <c r="X173" i="1"/>
  <c r="O173" i="1" s="1"/>
  <c r="F173" i="1" s="1"/>
  <c r="X168" i="1"/>
  <c r="O168" i="1" s="1"/>
  <c r="F168" i="1" s="1"/>
  <c r="X205" i="1"/>
  <c r="O205" i="1" s="1"/>
  <c r="F205" i="1" s="1"/>
  <c r="X184" i="1"/>
  <c r="O184" i="1" s="1"/>
  <c r="F184" i="1" s="1"/>
  <c r="X176" i="1"/>
  <c r="O176" i="1" s="1"/>
  <c r="F176" i="1" s="1"/>
  <c r="X189" i="1"/>
  <c r="O189" i="1" s="1"/>
  <c r="F189" i="1" s="1"/>
  <c r="X192" i="1"/>
  <c r="O192" i="1" s="1"/>
  <c r="F192" i="1" s="1"/>
  <c r="X200" i="1"/>
  <c r="O200" i="1" s="1"/>
  <c r="F200" i="1" s="1"/>
  <c r="AN118" i="1"/>
  <c r="AN201" i="1"/>
  <c r="AN198" i="1"/>
  <c r="AN193" i="1"/>
  <c r="AN190" i="1"/>
  <c r="AN185" i="1"/>
  <c r="AN182" i="1"/>
  <c r="AN200" i="1"/>
  <c r="AN192" i="1"/>
  <c r="AN184" i="1"/>
  <c r="AN189" i="1"/>
  <c r="AN186" i="1"/>
  <c r="AN197" i="1"/>
  <c r="AN194" i="1"/>
  <c r="AN177" i="1"/>
  <c r="AN174" i="1"/>
  <c r="AN169" i="1"/>
  <c r="AN166" i="1"/>
  <c r="AN176" i="1"/>
  <c r="AN168" i="1"/>
  <c r="AN204" i="1"/>
  <c r="AN178" i="1"/>
  <c r="AN205" i="1"/>
  <c r="AN188" i="1"/>
  <c r="AN181" i="1"/>
  <c r="AN196" i="1"/>
  <c r="AN173" i="1"/>
  <c r="AN180" i="1"/>
  <c r="AN202" i="1"/>
  <c r="AN172" i="1"/>
  <c r="AN170" i="1"/>
  <c r="S205" i="1"/>
  <c r="E205" i="1" s="1"/>
  <c r="S197" i="1"/>
  <c r="E197" i="1" s="1"/>
  <c r="S189" i="1"/>
  <c r="E189" i="1" s="1"/>
  <c r="S203" i="1"/>
  <c r="E203" i="1" s="1"/>
  <c r="S200" i="1"/>
  <c r="E200" i="1" s="1"/>
  <c r="S198" i="1"/>
  <c r="E198" i="1" s="1"/>
  <c r="S195" i="1"/>
  <c r="E195" i="1" s="1"/>
  <c r="S192" i="1"/>
  <c r="E192" i="1" s="1"/>
  <c r="S190" i="1"/>
  <c r="E190" i="1" s="1"/>
  <c r="S187" i="1"/>
  <c r="E187" i="1" s="1"/>
  <c r="S184" i="1"/>
  <c r="E184" i="1" s="1"/>
  <c r="S182" i="1"/>
  <c r="E182" i="1" s="1"/>
  <c r="S199" i="1"/>
  <c r="E199" i="1" s="1"/>
  <c r="S193" i="1"/>
  <c r="E193" i="1" s="1"/>
  <c r="S176" i="1"/>
  <c r="E176" i="1" s="1"/>
  <c r="S174" i="1"/>
  <c r="E174" i="1" s="1"/>
  <c r="S171" i="1"/>
  <c r="E171" i="1" s="1"/>
  <c r="S168" i="1"/>
  <c r="E168" i="1" s="1"/>
  <c r="S166" i="1"/>
  <c r="E166" i="1" s="1"/>
  <c r="S201" i="1"/>
  <c r="E201" i="1" s="1"/>
  <c r="S180" i="1"/>
  <c r="E180" i="1" s="1"/>
  <c r="S188" i="1"/>
  <c r="E188" i="1" s="1"/>
  <c r="S186" i="1"/>
  <c r="E186" i="1" s="1"/>
  <c r="S194" i="1"/>
  <c r="E194" i="1" s="1"/>
  <c r="S173" i="1"/>
  <c r="E173" i="1" s="1"/>
  <c r="S169" i="1"/>
  <c r="E169" i="1" s="1"/>
  <c r="S183" i="1"/>
  <c r="E183" i="1" s="1"/>
  <c r="S179" i="1"/>
  <c r="E179" i="1" s="1"/>
  <c r="S170" i="1"/>
  <c r="E170" i="1" s="1"/>
  <c r="S181" i="1"/>
  <c r="E181" i="1" s="1"/>
  <c r="S177" i="1"/>
  <c r="E177" i="1" s="1"/>
  <c r="S196" i="1"/>
  <c r="E196" i="1" s="1"/>
  <c r="S191" i="1"/>
  <c r="E191" i="1" s="1"/>
  <c r="S178" i="1"/>
  <c r="E178" i="1" s="1"/>
  <c r="S167" i="1"/>
  <c r="E167" i="1" s="1"/>
  <c r="S172" i="1"/>
  <c r="E172" i="1" s="1"/>
  <c r="S204" i="1"/>
  <c r="E204" i="1" s="1"/>
  <c r="S175" i="1"/>
  <c r="E175" i="1" s="1"/>
  <c r="S202" i="1"/>
  <c r="E202" i="1" s="1"/>
  <c r="S185" i="1"/>
  <c r="E185" i="1" s="1"/>
  <c r="AO118" i="1"/>
  <c r="AO200" i="1"/>
  <c r="AO192" i="1"/>
  <c r="AO184" i="1"/>
  <c r="AO203" i="1"/>
  <c r="AO201" i="1"/>
  <c r="AO198" i="1"/>
  <c r="AO195" i="1"/>
  <c r="AO193" i="1"/>
  <c r="AO190" i="1"/>
  <c r="AO187" i="1"/>
  <c r="AO185" i="1"/>
  <c r="AO182" i="1"/>
  <c r="AO197" i="1"/>
  <c r="AO194" i="1"/>
  <c r="AO177" i="1"/>
  <c r="AO174" i="1"/>
  <c r="AO171" i="1"/>
  <c r="AO169" i="1"/>
  <c r="AO166" i="1"/>
  <c r="AO205" i="1"/>
  <c r="AO202" i="1"/>
  <c r="AO191" i="1"/>
  <c r="AO188" i="1"/>
  <c r="AO183" i="1"/>
  <c r="AO167" i="1"/>
  <c r="AO176" i="1"/>
  <c r="AO175" i="1"/>
  <c r="AO199" i="1"/>
  <c r="AO181" i="1"/>
  <c r="AO172" i="1"/>
  <c r="AO189" i="1"/>
  <c r="AO179" i="1"/>
  <c r="AO168" i="1"/>
  <c r="AO180" i="1"/>
  <c r="AO204" i="1"/>
  <c r="AO186" i="1"/>
  <c r="AO178" i="1"/>
  <c r="AO170" i="1"/>
  <c r="AO196" i="1"/>
  <c r="AO173" i="1"/>
  <c r="V202" i="1"/>
  <c r="V199" i="1"/>
  <c r="V194" i="1"/>
  <c r="V191" i="1"/>
  <c r="V186" i="1"/>
  <c r="V183" i="1"/>
  <c r="W202" i="1"/>
  <c r="N202" i="1" s="1"/>
  <c r="G202" i="1" s="1"/>
  <c r="W199" i="1"/>
  <c r="N199" i="1" s="1"/>
  <c r="G199" i="1" s="1"/>
  <c r="W194" i="1"/>
  <c r="N194" i="1" s="1"/>
  <c r="G194" i="1" s="1"/>
  <c r="W191" i="1"/>
  <c r="N191" i="1" s="1"/>
  <c r="G191" i="1" s="1"/>
  <c r="W186" i="1"/>
  <c r="N186" i="1" s="1"/>
  <c r="G186" i="1" s="1"/>
  <c r="W183" i="1"/>
  <c r="N183" i="1" s="1"/>
  <c r="G183" i="1" s="1"/>
  <c r="W178" i="1"/>
  <c r="N178" i="1" s="1"/>
  <c r="G178" i="1" s="1"/>
  <c r="W175" i="1"/>
  <c r="N175" i="1" s="1"/>
  <c r="G175" i="1" s="1"/>
  <c r="W170" i="1"/>
  <c r="N170" i="1" s="1"/>
  <c r="G170" i="1" s="1"/>
  <c r="W167" i="1"/>
  <c r="N167" i="1" s="1"/>
  <c r="G167" i="1" s="1"/>
  <c r="W190" i="1"/>
  <c r="N190" i="1" s="1"/>
  <c r="G190" i="1" s="1"/>
  <c r="W187" i="1"/>
  <c r="N187" i="1" s="1"/>
  <c r="G187" i="1" s="1"/>
  <c r="V178" i="1"/>
  <c r="V175" i="1"/>
  <c r="V170" i="1"/>
  <c r="V167" i="1"/>
  <c r="W203" i="1"/>
  <c r="N203" i="1" s="1"/>
  <c r="G203" i="1" s="1"/>
  <c r="V198" i="1"/>
  <c r="V195" i="1"/>
  <c r="W182" i="1"/>
  <c r="N182" i="1" s="1"/>
  <c r="G182" i="1" s="1"/>
  <c r="W195" i="1"/>
  <c r="N195" i="1" s="1"/>
  <c r="G195" i="1" s="1"/>
  <c r="W179" i="1"/>
  <c r="N179" i="1" s="1"/>
  <c r="G179" i="1" s="1"/>
  <c r="V179" i="1"/>
  <c r="W166" i="1"/>
  <c r="N166" i="1" s="1"/>
  <c r="G166" i="1" s="1"/>
  <c r="V203" i="1"/>
  <c r="V190" i="1"/>
  <c r="V166" i="1"/>
  <c r="W174" i="1"/>
  <c r="N174" i="1" s="1"/>
  <c r="G174" i="1" s="1"/>
  <c r="V174" i="1"/>
  <c r="V182" i="1"/>
  <c r="W171" i="1"/>
  <c r="N171" i="1" s="1"/>
  <c r="G171" i="1" s="1"/>
  <c r="V187" i="1"/>
  <c r="V171" i="1"/>
  <c r="W198" i="1"/>
  <c r="N198" i="1" s="1"/>
  <c r="G198" i="1" s="1"/>
  <c r="AN119" i="1"/>
  <c r="AN203" i="1"/>
  <c r="AN195" i="1"/>
  <c r="AN187" i="1"/>
  <c r="AN179" i="1"/>
  <c r="AN171" i="1"/>
  <c r="AN191" i="1"/>
  <c r="AN183" i="1"/>
  <c r="AN167" i="1"/>
  <c r="AN175" i="1"/>
  <c r="AN199" i="1"/>
  <c r="X203" i="1"/>
  <c r="O203" i="1" s="1"/>
  <c r="F203" i="1" s="1"/>
  <c r="X198" i="1"/>
  <c r="O198" i="1" s="1"/>
  <c r="F198" i="1" s="1"/>
  <c r="X195" i="1"/>
  <c r="O195" i="1" s="1"/>
  <c r="F195" i="1" s="1"/>
  <c r="X190" i="1"/>
  <c r="O190" i="1" s="1"/>
  <c r="F190" i="1" s="1"/>
  <c r="X187" i="1"/>
  <c r="O187" i="1" s="1"/>
  <c r="F187" i="1" s="1"/>
  <c r="X194" i="1"/>
  <c r="O194" i="1" s="1"/>
  <c r="F194" i="1" s="1"/>
  <c r="X174" i="1"/>
  <c r="O174" i="1" s="1"/>
  <c r="F174" i="1" s="1"/>
  <c r="X171" i="1"/>
  <c r="O171" i="1" s="1"/>
  <c r="F171" i="1" s="1"/>
  <c r="X166" i="1"/>
  <c r="O166" i="1" s="1"/>
  <c r="F166" i="1" s="1"/>
  <c r="X170" i="1"/>
  <c r="O170" i="1" s="1"/>
  <c r="F170" i="1" s="1"/>
  <c r="X178" i="1"/>
  <c r="O178" i="1" s="1"/>
  <c r="F178" i="1" s="1"/>
  <c r="X191" i="1"/>
  <c r="O191" i="1" s="1"/>
  <c r="F191" i="1" s="1"/>
  <c r="X183" i="1"/>
  <c r="O183" i="1" s="1"/>
  <c r="F183" i="1" s="1"/>
  <c r="X167" i="1"/>
  <c r="O167" i="1" s="1"/>
  <c r="F167" i="1" s="1"/>
  <c r="X182" i="1"/>
  <c r="O182" i="1" s="1"/>
  <c r="F182" i="1" s="1"/>
  <c r="X186" i="1"/>
  <c r="O186" i="1" s="1"/>
  <c r="F186" i="1" s="1"/>
  <c r="X179" i="1"/>
  <c r="O179" i="1" s="1"/>
  <c r="F179" i="1" s="1"/>
  <c r="X199" i="1"/>
  <c r="O199" i="1" s="1"/>
  <c r="F199" i="1" s="1"/>
  <c r="X175" i="1"/>
  <c r="O175" i="1" s="1"/>
  <c r="F175" i="1" s="1"/>
  <c r="X202" i="1"/>
  <c r="O202" i="1" s="1"/>
  <c r="F202" i="1" s="1"/>
  <c r="Z203" i="1"/>
  <c r="Z201" i="1"/>
  <c r="Z198" i="1"/>
  <c r="Z195" i="1"/>
  <c r="Z193" i="1"/>
  <c r="Z190" i="1"/>
  <c r="Z187" i="1"/>
  <c r="Z185" i="1"/>
  <c r="Z182" i="1"/>
  <c r="Z179" i="1"/>
  <c r="Z200" i="1"/>
  <c r="Z192" i="1"/>
  <c r="Z184" i="1"/>
  <c r="Z189" i="1"/>
  <c r="Z186" i="1"/>
  <c r="Z197" i="1"/>
  <c r="Z194" i="1"/>
  <c r="Z177" i="1"/>
  <c r="Z174" i="1"/>
  <c r="Z171" i="1"/>
  <c r="Z169" i="1"/>
  <c r="Z166" i="1"/>
  <c r="Z196" i="1"/>
  <c r="Z176" i="1"/>
  <c r="Z168" i="1"/>
  <c r="Z205" i="1"/>
  <c r="Z178" i="1"/>
  <c r="Z191" i="1"/>
  <c r="Z188" i="1"/>
  <c r="Z183" i="1"/>
  <c r="Z167" i="1"/>
  <c r="Z181" i="1"/>
  <c r="Z172" i="1"/>
  <c r="Z175" i="1"/>
  <c r="Z202" i="1"/>
  <c r="Z199" i="1"/>
  <c r="Z204" i="1"/>
  <c r="Z180" i="1"/>
  <c r="Z173" i="1"/>
  <c r="Z170" i="1"/>
  <c r="AL118" i="1"/>
  <c r="AL204" i="1"/>
  <c r="AL196" i="1"/>
  <c r="AL188" i="1"/>
  <c r="AL180" i="1"/>
  <c r="AL203" i="1"/>
  <c r="AL201" i="1"/>
  <c r="AL198" i="1"/>
  <c r="AL195" i="1"/>
  <c r="AL193" i="1"/>
  <c r="AL190" i="1"/>
  <c r="AL187" i="1"/>
  <c r="AL185" i="1"/>
  <c r="AL181" i="1"/>
  <c r="AL172" i="1"/>
  <c r="AL197" i="1"/>
  <c r="AL194" i="1"/>
  <c r="AL182" i="1"/>
  <c r="AL177" i="1"/>
  <c r="AL174" i="1"/>
  <c r="AL171" i="1"/>
  <c r="AL169" i="1"/>
  <c r="AL166" i="1"/>
  <c r="AL200" i="1"/>
  <c r="AL179" i="1"/>
  <c r="AL173" i="1"/>
  <c r="AL170" i="1"/>
  <c r="AL168" i="1"/>
  <c r="AL205" i="1"/>
  <c r="AL178" i="1"/>
  <c r="AL191" i="1"/>
  <c r="AL184" i="1"/>
  <c r="AL183" i="1"/>
  <c r="AL176" i="1"/>
  <c r="AL167" i="1"/>
  <c r="AL202" i="1"/>
  <c r="AL175" i="1"/>
  <c r="AL186" i="1"/>
  <c r="AL189" i="1"/>
  <c r="AL199" i="1"/>
  <c r="AL192" i="1"/>
  <c r="AM118" i="1"/>
  <c r="AM201" i="1"/>
  <c r="AM198" i="1"/>
  <c r="AM193" i="1"/>
  <c r="AM190" i="1"/>
  <c r="AM185" i="1"/>
  <c r="AM182" i="1"/>
  <c r="AM169" i="1"/>
  <c r="AM168" i="1"/>
  <c r="AM191" i="1"/>
  <c r="AM184" i="1"/>
  <c r="AM183" i="1"/>
  <c r="AM177" i="1"/>
  <c r="AM176" i="1"/>
  <c r="AM167" i="1"/>
  <c r="AM166" i="1"/>
  <c r="AM192" i="1"/>
  <c r="AM174" i="1"/>
  <c r="AM199" i="1"/>
  <c r="AM200" i="1"/>
  <c r="AM175" i="1"/>
  <c r="T166" i="1"/>
  <c r="T190" i="1"/>
  <c r="T189" i="1"/>
  <c r="T167" i="1"/>
  <c r="T201" i="1"/>
  <c r="T182" i="1"/>
  <c r="T168" i="1"/>
  <c r="T175" i="1"/>
  <c r="T184" i="1"/>
  <c r="T173" i="1"/>
  <c r="T185" i="1"/>
  <c r="T174" i="1"/>
  <c r="T192" i="1"/>
  <c r="T188" i="1"/>
  <c r="T191" i="1"/>
  <c r="T180" i="1"/>
  <c r="T177" i="1"/>
  <c r="T194" i="1"/>
  <c r="T198" i="1"/>
  <c r="T205" i="1"/>
  <c r="T200" i="1"/>
  <c r="T172" i="1"/>
  <c r="T181" i="1"/>
  <c r="T170" i="1"/>
  <c r="T204" i="1"/>
  <c r="T176" i="1"/>
  <c r="T193" i="1"/>
  <c r="T195" i="1"/>
  <c r="T183" i="1"/>
  <c r="T203" i="1"/>
  <c r="T169" i="1"/>
  <c r="T186" i="1"/>
  <c r="T197" i="1"/>
  <c r="T178" i="1"/>
  <c r="T202" i="1"/>
  <c r="T179" i="1"/>
  <c r="T187" i="1"/>
  <c r="T171" i="1"/>
  <c r="T199" i="1"/>
  <c r="T196" i="1"/>
  <c r="AM122" i="1"/>
  <c r="AM203" i="1"/>
  <c r="AM195" i="1"/>
  <c r="AM187" i="1"/>
  <c r="AM204" i="1"/>
  <c r="AM196" i="1"/>
  <c r="AM188" i="1"/>
  <c r="AM181" i="1"/>
  <c r="AM172" i="1"/>
  <c r="AM189" i="1"/>
  <c r="AM186" i="1"/>
  <c r="AM205" i="1"/>
  <c r="AM202" i="1"/>
  <c r="AM178" i="1"/>
  <c r="AM194" i="1"/>
  <c r="AM171" i="1"/>
  <c r="AM180" i="1"/>
  <c r="AM173" i="1"/>
  <c r="AM179" i="1"/>
  <c r="AM197" i="1"/>
  <c r="AM170" i="1"/>
  <c r="AM92" i="1"/>
  <c r="AM91" i="1"/>
  <c r="AM90" i="1"/>
  <c r="AM93" i="1"/>
  <c r="AM85" i="1"/>
  <c r="AM84" i="1"/>
  <c r="T88" i="1"/>
  <c r="T91" i="1"/>
  <c r="T99" i="1"/>
  <c r="T89" i="1"/>
  <c r="T87" i="1"/>
  <c r="T102" i="1"/>
  <c r="T84" i="1"/>
  <c r="T109" i="1"/>
  <c r="T106" i="1"/>
  <c r="T103" i="1"/>
  <c r="T104" i="1"/>
  <c r="T97" i="1"/>
  <c r="T93" i="1"/>
  <c r="T107" i="1"/>
  <c r="T95" i="1"/>
  <c r="T96" i="1"/>
  <c r="T105" i="1"/>
  <c r="T90" i="1"/>
  <c r="T85" i="1"/>
  <c r="T98" i="1"/>
  <c r="T101" i="1"/>
  <c r="T94" i="1"/>
  <c r="T92" i="1"/>
  <c r="T100" i="1"/>
  <c r="T108" i="1"/>
  <c r="T86" i="1"/>
  <c r="V102" i="1"/>
  <c r="V99" i="1"/>
  <c r="V86" i="1"/>
  <c r="W106" i="1"/>
  <c r="N106" i="1" s="1"/>
  <c r="G106" i="1" s="1"/>
  <c r="W103" i="1"/>
  <c r="N103" i="1" s="1"/>
  <c r="G103" i="1" s="1"/>
  <c r="W90" i="1"/>
  <c r="N90" i="1" s="1"/>
  <c r="G90" i="1" s="1"/>
  <c r="W87" i="1"/>
  <c r="N87" i="1" s="1"/>
  <c r="G87" i="1" s="1"/>
  <c r="V106" i="1"/>
  <c r="V103" i="1"/>
  <c r="V90" i="1"/>
  <c r="V87" i="1"/>
  <c r="W84" i="1"/>
  <c r="N84" i="1" s="1"/>
  <c r="G84" i="1" s="1"/>
  <c r="W108" i="1"/>
  <c r="N108" i="1" s="1"/>
  <c r="G108" i="1" s="1"/>
  <c r="V98" i="1"/>
  <c r="V95" i="1"/>
  <c r="W95" i="1"/>
  <c r="N95" i="1" s="1"/>
  <c r="G95" i="1" s="1"/>
  <c r="V94" i="1"/>
  <c r="V91" i="1"/>
  <c r="W99" i="1"/>
  <c r="N99" i="1" s="1"/>
  <c r="G99" i="1" s="1"/>
  <c r="W98" i="1"/>
  <c r="N98" i="1" s="1"/>
  <c r="G98" i="1" s="1"/>
  <c r="W102" i="1"/>
  <c r="N102" i="1" s="1"/>
  <c r="G102" i="1" s="1"/>
  <c r="V84" i="1"/>
  <c r="V108" i="1"/>
  <c r="W86" i="1"/>
  <c r="N86" i="1" s="1"/>
  <c r="G86" i="1" s="1"/>
  <c r="W94" i="1"/>
  <c r="N94" i="1" s="1"/>
  <c r="G94" i="1" s="1"/>
  <c r="W91" i="1"/>
  <c r="N91" i="1" s="1"/>
  <c r="G91" i="1" s="1"/>
  <c r="AO83" i="1"/>
  <c r="AO105" i="1"/>
  <c r="AO89" i="1"/>
  <c r="AO96" i="1"/>
  <c r="AO109" i="1"/>
  <c r="AO93" i="1"/>
  <c r="AO101" i="1"/>
  <c r="AO85" i="1"/>
  <c r="AO107" i="1"/>
  <c r="AO88" i="1"/>
  <c r="AO104" i="1"/>
  <c r="AO92" i="1"/>
  <c r="AO100" i="1"/>
  <c r="AO97" i="1"/>
  <c r="X82" i="1"/>
  <c r="O82" i="1" s="1"/>
  <c r="F82" i="1" s="1"/>
  <c r="X106" i="1"/>
  <c r="O106" i="1" s="1"/>
  <c r="F106" i="1" s="1"/>
  <c r="X103" i="1"/>
  <c r="O103" i="1" s="1"/>
  <c r="F103" i="1" s="1"/>
  <c r="X90" i="1"/>
  <c r="O90" i="1" s="1"/>
  <c r="F90" i="1" s="1"/>
  <c r="X87" i="1"/>
  <c r="O87" i="1" s="1"/>
  <c r="F87" i="1" s="1"/>
  <c r="X84" i="1"/>
  <c r="O84" i="1" s="1"/>
  <c r="F84" i="1" s="1"/>
  <c r="X94" i="1"/>
  <c r="O94" i="1" s="1"/>
  <c r="F94" i="1" s="1"/>
  <c r="X91" i="1"/>
  <c r="O91" i="1" s="1"/>
  <c r="F91" i="1" s="1"/>
  <c r="X102" i="1"/>
  <c r="O102" i="1" s="1"/>
  <c r="F102" i="1" s="1"/>
  <c r="X99" i="1"/>
  <c r="O99" i="1" s="1"/>
  <c r="F99" i="1" s="1"/>
  <c r="X86" i="1"/>
  <c r="O86" i="1" s="1"/>
  <c r="F86" i="1" s="1"/>
  <c r="X98" i="1"/>
  <c r="O98" i="1" s="1"/>
  <c r="F98" i="1" s="1"/>
  <c r="X108" i="1"/>
  <c r="O108" i="1" s="1"/>
  <c r="F108" i="1" s="1"/>
  <c r="X95" i="1"/>
  <c r="O95" i="1" s="1"/>
  <c r="F95" i="1" s="1"/>
  <c r="Z107" i="1"/>
  <c r="Z108" i="1"/>
  <c r="Z106" i="1"/>
  <c r="Z109" i="1"/>
  <c r="Z100" i="1"/>
  <c r="Z94" i="1"/>
  <c r="Z91" i="1"/>
  <c r="Z97" i="1"/>
  <c r="Z104" i="1"/>
  <c r="Z98" i="1"/>
  <c r="Z95" i="1"/>
  <c r="Z88" i="1"/>
  <c r="Z103" i="1"/>
  <c r="Z96" i="1"/>
  <c r="Z90" i="1"/>
  <c r="Z87" i="1"/>
  <c r="Z89" i="1"/>
  <c r="Z92" i="1"/>
  <c r="Z86" i="1"/>
  <c r="Z105" i="1"/>
  <c r="Z102" i="1"/>
  <c r="Z93" i="1"/>
  <c r="Z101" i="1"/>
  <c r="Z84" i="1"/>
  <c r="Z85" i="1"/>
  <c r="Z99" i="1"/>
  <c r="AN99" i="1"/>
  <c r="AN105" i="1"/>
  <c r="AN106" i="1"/>
  <c r="AN103" i="1"/>
  <c r="AN109" i="1"/>
  <c r="AN107" i="1"/>
  <c r="AN108" i="1"/>
  <c r="AN101" i="1"/>
  <c r="AM86" i="1"/>
  <c r="AM89" i="1"/>
  <c r="AM88" i="1"/>
  <c r="AM87" i="1"/>
  <c r="AL107" i="1"/>
  <c r="AL104" i="1"/>
  <c r="AL98" i="1"/>
  <c r="AL95" i="1"/>
  <c r="AL88" i="1"/>
  <c r="AL108" i="1"/>
  <c r="AL101" i="1"/>
  <c r="AL85" i="1"/>
  <c r="AL102" i="1"/>
  <c r="AL99" i="1"/>
  <c r="AL92" i="1"/>
  <c r="AL86" i="1"/>
  <c r="AL100" i="1"/>
  <c r="AL94" i="1"/>
  <c r="AL91" i="1"/>
  <c r="AL103" i="1"/>
  <c r="AL97" i="1"/>
  <c r="AL84" i="1"/>
  <c r="AL109" i="1"/>
  <c r="AL96" i="1"/>
  <c r="AL106" i="1"/>
  <c r="AL105" i="1"/>
  <c r="AL87" i="1"/>
  <c r="AL90" i="1"/>
  <c r="AL89" i="1"/>
  <c r="AL93" i="1"/>
  <c r="AN102" i="1"/>
  <c r="AN89" i="1"/>
  <c r="AN87" i="1"/>
  <c r="AN104" i="1"/>
  <c r="AN98" i="1"/>
  <c r="AN95" i="1"/>
  <c r="AN100" i="1"/>
  <c r="AN91" i="1"/>
  <c r="AN93" i="1"/>
  <c r="AN97" i="1"/>
  <c r="S101" i="1"/>
  <c r="E101" i="1" s="1"/>
  <c r="S85" i="1"/>
  <c r="E85" i="1" s="1"/>
  <c r="S98" i="1"/>
  <c r="E98" i="1" s="1"/>
  <c r="S95" i="1"/>
  <c r="E95" i="1" s="1"/>
  <c r="S92" i="1"/>
  <c r="E92" i="1" s="1"/>
  <c r="S108" i="1"/>
  <c r="E108" i="1" s="1"/>
  <c r="S105" i="1"/>
  <c r="E105" i="1" s="1"/>
  <c r="S89" i="1"/>
  <c r="E89" i="1" s="1"/>
  <c r="S97" i="1"/>
  <c r="E97" i="1" s="1"/>
  <c r="S84" i="1"/>
  <c r="E84" i="1" s="1"/>
  <c r="S106" i="1"/>
  <c r="E106" i="1" s="1"/>
  <c r="S87" i="1"/>
  <c r="E87" i="1" s="1"/>
  <c r="S102" i="1"/>
  <c r="E102" i="1" s="1"/>
  <c r="S100" i="1"/>
  <c r="E100" i="1" s="1"/>
  <c r="S96" i="1"/>
  <c r="E96" i="1" s="1"/>
  <c r="S99" i="1"/>
  <c r="E99" i="1" s="1"/>
  <c r="S94" i="1"/>
  <c r="E94" i="1" s="1"/>
  <c r="S91" i="1"/>
  <c r="E91" i="1" s="1"/>
  <c r="S109" i="1"/>
  <c r="E109" i="1" s="1"/>
  <c r="S104" i="1"/>
  <c r="E104" i="1" s="1"/>
  <c r="S93" i="1"/>
  <c r="E93" i="1" s="1"/>
  <c r="S90" i="1"/>
  <c r="E90" i="1" s="1"/>
  <c r="S103" i="1"/>
  <c r="E103" i="1" s="1"/>
  <c r="S107" i="1"/>
  <c r="E107" i="1" s="1"/>
  <c r="S88" i="1"/>
  <c r="E88" i="1" s="1"/>
  <c r="S86" i="1"/>
  <c r="E86" i="1" s="1"/>
  <c r="X83" i="1"/>
  <c r="O83" i="1" s="1"/>
  <c r="F83" i="1" s="1"/>
  <c r="X96" i="1"/>
  <c r="O96" i="1" s="1"/>
  <c r="F96" i="1" s="1"/>
  <c r="X109" i="1"/>
  <c r="O109" i="1" s="1"/>
  <c r="F109" i="1" s="1"/>
  <c r="X93" i="1"/>
  <c r="O93" i="1" s="1"/>
  <c r="F93" i="1" s="1"/>
  <c r="X100" i="1"/>
  <c r="O100" i="1" s="1"/>
  <c r="F100" i="1" s="1"/>
  <c r="X92" i="1"/>
  <c r="O92" i="1" s="1"/>
  <c r="F92" i="1" s="1"/>
  <c r="X104" i="1"/>
  <c r="O104" i="1" s="1"/>
  <c r="F104" i="1" s="1"/>
  <c r="X89" i="1"/>
  <c r="O89" i="1" s="1"/>
  <c r="F89" i="1" s="1"/>
  <c r="X88" i="1"/>
  <c r="O88" i="1" s="1"/>
  <c r="F88" i="1" s="1"/>
  <c r="X97" i="1"/>
  <c r="O97" i="1" s="1"/>
  <c r="F97" i="1" s="1"/>
  <c r="X107" i="1"/>
  <c r="O107" i="1" s="1"/>
  <c r="F107" i="1" s="1"/>
  <c r="X101" i="1"/>
  <c r="O101" i="1" s="1"/>
  <c r="F101" i="1" s="1"/>
  <c r="X105" i="1"/>
  <c r="O105" i="1" s="1"/>
  <c r="F105" i="1" s="1"/>
  <c r="A105" i="1" s="1"/>
  <c r="X85" i="1"/>
  <c r="O85" i="1" s="1"/>
  <c r="F85" i="1" s="1"/>
  <c r="AM72" i="1"/>
  <c r="AM101" i="1"/>
  <c r="AM99" i="1"/>
  <c r="AM100" i="1"/>
  <c r="AM98" i="1"/>
  <c r="U108" i="1"/>
  <c r="U105" i="1"/>
  <c r="U89" i="1"/>
  <c r="U102" i="1"/>
  <c r="U99" i="1"/>
  <c r="U96" i="1"/>
  <c r="U86" i="1"/>
  <c r="U109" i="1"/>
  <c r="U93" i="1"/>
  <c r="U101" i="1"/>
  <c r="U85" i="1"/>
  <c r="U107" i="1"/>
  <c r="U95" i="1"/>
  <c r="U94" i="1"/>
  <c r="U91" i="1"/>
  <c r="U90" i="1"/>
  <c r="U84" i="1"/>
  <c r="U104" i="1"/>
  <c r="U103" i="1"/>
  <c r="U98" i="1"/>
  <c r="U97" i="1"/>
  <c r="U88" i="1"/>
  <c r="U106" i="1"/>
  <c r="U92" i="1"/>
  <c r="U87" i="1"/>
  <c r="U100" i="1"/>
  <c r="AM97" i="1"/>
  <c r="AM96" i="1"/>
  <c r="AM95" i="1"/>
  <c r="AM94" i="1"/>
  <c r="AN92" i="1"/>
  <c r="AN86" i="1"/>
  <c r="AN96" i="1"/>
  <c r="AN90" i="1"/>
  <c r="AN88" i="1"/>
  <c r="AN94" i="1"/>
  <c r="AN85" i="1"/>
  <c r="AN84" i="1"/>
  <c r="AO59" i="1"/>
  <c r="AO81" i="1"/>
  <c r="AN83" i="1"/>
  <c r="AN82" i="1"/>
  <c r="W82" i="1"/>
  <c r="N82" i="1" s="1"/>
  <c r="G82" i="1" s="1"/>
  <c r="V82" i="1"/>
  <c r="U82" i="1"/>
  <c r="U83" i="1"/>
  <c r="Z83" i="1"/>
  <c r="Z82" i="1"/>
  <c r="AL83" i="1"/>
  <c r="AL82" i="1"/>
  <c r="T83" i="1"/>
  <c r="T82" i="1"/>
  <c r="S83" i="1"/>
  <c r="E83" i="1" s="1"/>
  <c r="S82" i="1"/>
  <c r="E82" i="1" s="1"/>
  <c r="AN80" i="1"/>
  <c r="AN81" i="1"/>
  <c r="W80" i="1"/>
  <c r="N80" i="1" s="1"/>
  <c r="G80" i="1" s="1"/>
  <c r="V80" i="1"/>
  <c r="X80" i="1"/>
  <c r="O80" i="1" s="1"/>
  <c r="F80" i="1" s="1"/>
  <c r="X81" i="1"/>
  <c r="O81" i="1" s="1"/>
  <c r="F81" i="1" s="1"/>
  <c r="U58" i="1"/>
  <c r="U81" i="1"/>
  <c r="U80" i="1"/>
  <c r="S80" i="1"/>
  <c r="E80" i="1" s="1"/>
  <c r="Z80" i="1"/>
  <c r="AL80" i="1"/>
  <c r="T80" i="1"/>
  <c r="T81" i="1"/>
  <c r="Z81" i="1"/>
  <c r="AL81" i="1"/>
  <c r="S81" i="1"/>
  <c r="E81" i="1" s="1"/>
  <c r="AN47" i="1"/>
  <c r="AN53" i="1"/>
  <c r="AN44" i="1"/>
  <c r="AN50" i="1"/>
  <c r="AN41" i="1"/>
  <c r="AN38" i="1"/>
  <c r="AN56" i="1"/>
  <c r="AN35" i="1"/>
  <c r="AN33" i="1"/>
  <c r="AN31" i="1"/>
  <c r="V53" i="1"/>
  <c r="W40" i="1"/>
  <c r="N40" i="1" s="1"/>
  <c r="G40" i="1" s="1"/>
  <c r="W46" i="1"/>
  <c r="N46" i="1" s="1"/>
  <c r="G46" i="1" s="1"/>
  <c r="V40" i="1"/>
  <c r="W36" i="1"/>
  <c r="N36" i="1" s="1"/>
  <c r="G36" i="1" s="1"/>
  <c r="W30" i="1"/>
  <c r="N30" i="1" s="1"/>
  <c r="G30" i="1" s="1"/>
  <c r="W42" i="1"/>
  <c r="N42" i="1" s="1"/>
  <c r="G42" i="1" s="1"/>
  <c r="W52" i="1"/>
  <c r="N52" i="1" s="1"/>
  <c r="G52" i="1" s="1"/>
  <c r="V46" i="1"/>
  <c r="V36" i="1"/>
  <c r="W53" i="1"/>
  <c r="N53" i="1" s="1"/>
  <c r="G53" i="1" s="1"/>
  <c r="V47" i="1"/>
  <c r="W34" i="1"/>
  <c r="N34" i="1" s="1"/>
  <c r="G34" i="1" s="1"/>
  <c r="V31" i="1"/>
  <c r="V54" i="1"/>
  <c r="W48" i="1"/>
  <c r="N48" i="1" s="1"/>
  <c r="G48" i="1" s="1"/>
  <c r="V42" i="1"/>
  <c r="W41" i="1"/>
  <c r="N41" i="1" s="1"/>
  <c r="G41" i="1" s="1"/>
  <c r="V35" i="1"/>
  <c r="V48" i="1"/>
  <c r="W47" i="1"/>
  <c r="N47" i="1" s="1"/>
  <c r="G47" i="1" s="1"/>
  <c r="V41" i="1"/>
  <c r="V34" i="1"/>
  <c r="V52" i="1"/>
  <c r="W54" i="1"/>
  <c r="N54" i="1" s="1"/>
  <c r="G54" i="1" s="1"/>
  <c r="W31" i="1"/>
  <c r="N31" i="1" s="1"/>
  <c r="G31" i="1" s="1"/>
  <c r="W35" i="1"/>
  <c r="N35" i="1" s="1"/>
  <c r="G35" i="1" s="1"/>
  <c r="V30" i="1"/>
  <c r="AL54" i="1"/>
  <c r="AL39" i="1"/>
  <c r="AL45" i="1"/>
  <c r="AL41" i="1"/>
  <c r="AL32" i="1"/>
  <c r="AL38" i="1"/>
  <c r="AL51" i="1"/>
  <c r="AL47" i="1"/>
  <c r="AL55" i="1"/>
  <c r="AL48" i="1"/>
  <c r="AL33" i="1"/>
  <c r="AL35" i="1"/>
  <c r="AL57" i="1"/>
  <c r="AL34" i="1"/>
  <c r="AL44" i="1"/>
  <c r="AL56" i="1"/>
  <c r="AL53" i="1"/>
  <c r="AL52" i="1"/>
  <c r="AL50" i="1"/>
  <c r="AL30" i="1"/>
  <c r="AL46" i="1"/>
  <c r="AL43" i="1"/>
  <c r="AL40" i="1"/>
  <c r="AL37" i="1"/>
  <c r="AL31" i="1"/>
  <c r="AL49" i="1"/>
  <c r="AL36" i="1"/>
  <c r="AL42" i="1"/>
  <c r="T34" i="1"/>
  <c r="T41" i="1"/>
  <c r="T35" i="1"/>
  <c r="T40" i="1"/>
  <c r="T39" i="1"/>
  <c r="T31" i="1"/>
  <c r="T30" i="1"/>
  <c r="T47" i="1"/>
  <c r="T57" i="1"/>
  <c r="T33" i="1"/>
  <c r="T38" i="1"/>
  <c r="T51" i="1"/>
  <c r="T48" i="1"/>
  <c r="T37" i="1"/>
  <c r="T56" i="1"/>
  <c r="T52" i="1"/>
  <c r="T45" i="1"/>
  <c r="T49" i="1"/>
  <c r="T46" i="1"/>
  <c r="T32" i="1"/>
  <c r="T54" i="1"/>
  <c r="T50" i="1"/>
  <c r="T44" i="1"/>
  <c r="T53" i="1"/>
  <c r="T43" i="1"/>
  <c r="T42" i="1"/>
  <c r="T55" i="1"/>
  <c r="T36" i="1"/>
  <c r="AM24" i="1"/>
  <c r="AM57" i="1"/>
  <c r="AM53" i="1"/>
  <c r="AM54" i="1"/>
  <c r="AM56" i="1"/>
  <c r="AM52" i="1"/>
  <c r="AM55" i="1"/>
  <c r="AM12" i="1"/>
  <c r="AM45" i="1"/>
  <c r="AM41" i="1"/>
  <c r="AM44" i="1"/>
  <c r="AM43" i="1"/>
  <c r="AM40" i="1"/>
  <c r="AM42" i="1"/>
  <c r="AM38" i="1"/>
  <c r="AM39" i="1"/>
  <c r="AM35" i="1"/>
  <c r="AM37" i="1"/>
  <c r="AM36" i="1"/>
  <c r="AM34" i="1"/>
  <c r="U50" i="1"/>
  <c r="U47" i="1"/>
  <c r="U37" i="1"/>
  <c r="U56" i="1"/>
  <c r="U53" i="1"/>
  <c r="U43" i="1"/>
  <c r="U34" i="1"/>
  <c r="U40" i="1"/>
  <c r="U49" i="1"/>
  <c r="U57" i="1"/>
  <c r="U44" i="1"/>
  <c r="U41" i="1"/>
  <c r="U30" i="1"/>
  <c r="U54" i="1"/>
  <c r="U42" i="1"/>
  <c r="U36" i="1"/>
  <c r="U35" i="1"/>
  <c r="U33" i="1"/>
  <c r="U48" i="1"/>
  <c r="U31" i="1"/>
  <c r="U55" i="1"/>
  <c r="U39" i="1"/>
  <c r="U52" i="1"/>
  <c r="U45" i="1"/>
  <c r="U46" i="1"/>
  <c r="U38" i="1"/>
  <c r="U51" i="1"/>
  <c r="U32" i="1"/>
  <c r="AO4" i="1"/>
  <c r="AO57" i="1"/>
  <c r="AO44" i="1"/>
  <c r="AO50" i="1"/>
  <c r="AO37" i="1"/>
  <c r="AO56" i="1"/>
  <c r="AO43" i="1"/>
  <c r="AO51" i="1"/>
  <c r="AO38" i="1"/>
  <c r="AO32" i="1"/>
  <c r="AO45" i="1"/>
  <c r="AO55" i="1"/>
  <c r="AO39" i="1"/>
  <c r="AO49" i="1"/>
  <c r="AO33" i="1"/>
  <c r="Z55" i="1"/>
  <c r="Z48" i="1"/>
  <c r="Z54" i="1"/>
  <c r="Z39" i="1"/>
  <c r="Z35" i="1"/>
  <c r="Z45" i="1"/>
  <c r="Z41" i="1"/>
  <c r="Z52" i="1"/>
  <c r="Z49" i="1"/>
  <c r="Z42" i="1"/>
  <c r="Z36" i="1"/>
  <c r="Z31" i="1"/>
  <c r="Z57" i="1"/>
  <c r="Z34" i="1"/>
  <c r="Z51" i="1"/>
  <c r="Z44" i="1"/>
  <c r="Z56" i="1"/>
  <c r="Z38" i="1"/>
  <c r="Z32" i="1"/>
  <c r="Z53" i="1"/>
  <c r="Z50" i="1"/>
  <c r="Z30" i="1"/>
  <c r="Z33" i="1"/>
  <c r="Z40" i="1"/>
  <c r="Z46" i="1"/>
  <c r="Z47" i="1"/>
  <c r="Z37" i="1"/>
  <c r="Z43" i="1"/>
  <c r="AM18" i="1"/>
  <c r="AM51" i="1"/>
  <c r="AM47" i="1"/>
  <c r="AM50" i="1"/>
  <c r="AM46" i="1"/>
  <c r="AM49" i="1"/>
  <c r="AM48" i="1"/>
  <c r="X46" i="1"/>
  <c r="O46" i="1" s="1"/>
  <c r="F46" i="1" s="1"/>
  <c r="X36" i="1"/>
  <c r="O36" i="1" s="1"/>
  <c r="F36" i="1" s="1"/>
  <c r="X52" i="1"/>
  <c r="O52" i="1" s="1"/>
  <c r="F52" i="1" s="1"/>
  <c r="X42" i="1"/>
  <c r="O42" i="1" s="1"/>
  <c r="F42" i="1" s="1"/>
  <c r="X48" i="1"/>
  <c r="O48" i="1" s="1"/>
  <c r="F48" i="1" s="1"/>
  <c r="X40" i="1"/>
  <c r="O40" i="1" s="1"/>
  <c r="F40" i="1" s="1"/>
  <c r="X47" i="1"/>
  <c r="O47" i="1" s="1"/>
  <c r="F47" i="1" s="1"/>
  <c r="X31" i="1"/>
  <c r="O31" i="1" s="1"/>
  <c r="F31" i="1" s="1"/>
  <c r="X54" i="1"/>
  <c r="O54" i="1" s="1"/>
  <c r="F54" i="1" s="1"/>
  <c r="X53" i="1"/>
  <c r="O53" i="1" s="1"/>
  <c r="F53" i="1" s="1"/>
  <c r="X35" i="1"/>
  <c r="O35" i="1" s="1"/>
  <c r="F35" i="1" s="1"/>
  <c r="X30" i="1"/>
  <c r="O30" i="1" s="1"/>
  <c r="F30" i="1" s="1"/>
  <c r="X41" i="1"/>
  <c r="O41" i="1" s="1"/>
  <c r="F41" i="1" s="1"/>
  <c r="X34" i="1"/>
  <c r="O34" i="1" s="1"/>
  <c r="F34" i="1" s="1"/>
  <c r="AN34" i="1"/>
  <c r="AN40" i="1"/>
  <c r="AN37" i="1"/>
  <c r="AN32" i="1"/>
  <c r="AN52" i="1"/>
  <c r="AN46" i="1"/>
  <c r="AN30" i="1"/>
  <c r="AN43" i="1"/>
  <c r="AN55" i="1"/>
  <c r="AN49" i="1"/>
  <c r="AM31" i="1"/>
  <c r="AM33" i="1"/>
  <c r="AM30" i="1"/>
  <c r="AM32" i="1"/>
  <c r="X4" i="1"/>
  <c r="O4" i="1" s="1"/>
  <c r="F4" i="1" s="1"/>
  <c r="X56" i="1"/>
  <c r="O56" i="1" s="1"/>
  <c r="F56" i="1" s="1"/>
  <c r="X43" i="1"/>
  <c r="O43" i="1" s="1"/>
  <c r="F43" i="1" s="1"/>
  <c r="X49" i="1"/>
  <c r="O49" i="1" s="1"/>
  <c r="F49" i="1" s="1"/>
  <c r="X55" i="1"/>
  <c r="O55" i="1" s="1"/>
  <c r="F55" i="1" s="1"/>
  <c r="X50" i="1"/>
  <c r="O50" i="1" s="1"/>
  <c r="F50" i="1" s="1"/>
  <c r="X37" i="1"/>
  <c r="O37" i="1" s="1"/>
  <c r="F37" i="1" s="1"/>
  <c r="X33" i="1"/>
  <c r="O33" i="1" s="1"/>
  <c r="F33" i="1" s="1"/>
  <c r="X57" i="1"/>
  <c r="O57" i="1" s="1"/>
  <c r="F57" i="1" s="1"/>
  <c r="X51" i="1"/>
  <c r="O51" i="1" s="1"/>
  <c r="F51" i="1" s="1"/>
  <c r="X45" i="1"/>
  <c r="O45" i="1" s="1"/>
  <c r="F45" i="1" s="1"/>
  <c r="X44" i="1"/>
  <c r="O44" i="1" s="1"/>
  <c r="F44" i="1" s="1"/>
  <c r="X39" i="1"/>
  <c r="O39" i="1" s="1"/>
  <c r="F39" i="1" s="1"/>
  <c r="X38" i="1"/>
  <c r="O38" i="1" s="1"/>
  <c r="F38" i="1" s="1"/>
  <c r="X32" i="1"/>
  <c r="O32" i="1" s="1"/>
  <c r="F32" i="1" s="1"/>
  <c r="AN51" i="1"/>
  <c r="AN57" i="1"/>
  <c r="AN45" i="1"/>
  <c r="AN39" i="1"/>
  <c r="AN54" i="1"/>
  <c r="AN42" i="1"/>
  <c r="AN36" i="1"/>
  <c r="AN48" i="1"/>
  <c r="S54" i="1"/>
  <c r="E54" i="1" s="1"/>
  <c r="S51" i="1"/>
  <c r="E51" i="1" s="1"/>
  <c r="S57" i="1"/>
  <c r="E57" i="1" s="1"/>
  <c r="S44" i="1"/>
  <c r="E44" i="1" s="1"/>
  <c r="S41" i="1"/>
  <c r="E41" i="1" s="1"/>
  <c r="S37" i="1"/>
  <c r="E37" i="1" s="1"/>
  <c r="S50" i="1"/>
  <c r="E50" i="1" s="1"/>
  <c r="S47" i="1"/>
  <c r="E47" i="1" s="1"/>
  <c r="S48" i="1"/>
  <c r="E48" i="1" s="1"/>
  <c r="S45" i="1"/>
  <c r="E45" i="1" s="1"/>
  <c r="S32" i="1"/>
  <c r="E32" i="1" s="1"/>
  <c r="S38" i="1"/>
  <c r="E38" i="1" s="1"/>
  <c r="S35" i="1"/>
  <c r="E35" i="1" s="1"/>
  <c r="S55" i="1"/>
  <c r="E55" i="1" s="1"/>
  <c r="S53" i="1"/>
  <c r="E53" i="1" s="1"/>
  <c r="S52" i="1"/>
  <c r="E52" i="1" s="1"/>
  <c r="S39" i="1"/>
  <c r="E39" i="1" s="1"/>
  <c r="S49" i="1"/>
  <c r="E49" i="1" s="1"/>
  <c r="S46" i="1"/>
  <c r="E46" i="1" s="1"/>
  <c r="S40" i="1"/>
  <c r="E40" i="1" s="1"/>
  <c r="S42" i="1"/>
  <c r="E42" i="1" s="1"/>
  <c r="S30" i="1"/>
  <c r="E30" i="1" s="1"/>
  <c r="S56" i="1"/>
  <c r="E56" i="1" s="1"/>
  <c r="S31" i="1"/>
  <c r="E31" i="1" s="1"/>
  <c r="S34" i="1"/>
  <c r="E34" i="1" s="1"/>
  <c r="S33" i="1"/>
  <c r="E33" i="1" s="1"/>
  <c r="S43" i="1"/>
  <c r="E43" i="1" s="1"/>
  <c r="S36" i="1"/>
  <c r="E36" i="1" s="1"/>
  <c r="BB13" i="4"/>
  <c r="AQ14" i="4" s="1"/>
  <c r="S695" i="1"/>
  <c r="E695" i="1" s="1"/>
  <c r="S692" i="1"/>
  <c r="E692" i="1" s="1"/>
  <c r="S693" i="1"/>
  <c r="E693" i="1" s="1"/>
  <c r="S694" i="1"/>
  <c r="E694" i="1" s="1"/>
  <c r="S696" i="1"/>
  <c r="E696" i="1" s="1"/>
  <c r="S697" i="1"/>
  <c r="E697" i="1" s="1"/>
  <c r="AN695" i="1"/>
  <c r="AN692" i="1"/>
  <c r="AN697" i="1"/>
  <c r="AN694" i="1"/>
  <c r="Z693" i="1"/>
  <c r="Z697" i="1"/>
  <c r="Z695" i="1"/>
  <c r="Z694" i="1"/>
  <c r="Z696" i="1"/>
  <c r="Z692" i="1"/>
  <c r="W694" i="1"/>
  <c r="N694" i="1" s="1"/>
  <c r="G694" i="1" s="1"/>
  <c r="V693" i="1"/>
  <c r="W693" i="1"/>
  <c r="N693" i="1" s="1"/>
  <c r="G693" i="1" s="1"/>
  <c r="V692" i="1"/>
  <c r="V694" i="1"/>
  <c r="W692" i="1"/>
  <c r="N692" i="1" s="1"/>
  <c r="G692" i="1" s="1"/>
  <c r="AL697" i="1"/>
  <c r="AL695" i="1"/>
  <c r="AL694" i="1"/>
  <c r="AL696" i="1"/>
  <c r="AL692" i="1"/>
  <c r="AL693" i="1"/>
  <c r="X696" i="1"/>
  <c r="O696" i="1" s="1"/>
  <c r="F696" i="1" s="1"/>
  <c r="A696" i="1" s="1"/>
  <c r="X697" i="1"/>
  <c r="O697" i="1" s="1"/>
  <c r="F697" i="1" s="1"/>
  <c r="A697" i="1" s="1"/>
  <c r="X695" i="1"/>
  <c r="O695" i="1" s="1"/>
  <c r="F695" i="1" s="1"/>
  <c r="X694" i="1"/>
  <c r="O694" i="1" s="1"/>
  <c r="F694" i="1" s="1"/>
  <c r="X692" i="1"/>
  <c r="O692" i="1" s="1"/>
  <c r="F692" i="1" s="1"/>
  <c r="X693" i="1"/>
  <c r="O693" i="1" s="1"/>
  <c r="F693" i="1" s="1"/>
  <c r="AN73" i="1"/>
  <c r="AN696" i="1"/>
  <c r="AN693" i="1"/>
  <c r="AO696" i="1"/>
  <c r="AO697" i="1"/>
  <c r="AO695" i="1"/>
  <c r="U693" i="1"/>
  <c r="U692" i="1"/>
  <c r="T693" i="1"/>
  <c r="T692" i="1"/>
  <c r="U694" i="1"/>
  <c r="T694" i="1"/>
  <c r="T696" i="1"/>
  <c r="T695" i="1"/>
  <c r="U696" i="1"/>
  <c r="U695" i="1"/>
  <c r="U697" i="1"/>
  <c r="T697" i="1"/>
  <c r="S155" i="1"/>
  <c r="E155" i="1" s="1"/>
  <c r="S537" i="1"/>
  <c r="E537" i="1" s="1"/>
  <c r="S576" i="1"/>
  <c r="E576" i="1" s="1"/>
  <c r="S223" i="1"/>
  <c r="E223" i="1" s="1"/>
  <c r="S428" i="1"/>
  <c r="E428" i="1" s="1"/>
  <c r="S736" i="1"/>
  <c r="E736" i="1" s="1"/>
  <c r="S718" i="1"/>
  <c r="E718" i="1" s="1"/>
  <c r="S520" i="1"/>
  <c r="E520" i="1" s="1"/>
  <c r="S214" i="1"/>
  <c r="E214" i="1" s="1"/>
  <c r="S701" i="1"/>
  <c r="E701" i="1" s="1"/>
  <c r="S126" i="1"/>
  <c r="E126" i="1" s="1"/>
  <c r="S218" i="1"/>
  <c r="E218" i="1" s="1"/>
  <c r="S77" i="1"/>
  <c r="E77" i="1" s="1"/>
  <c r="S559" i="1"/>
  <c r="E559" i="1" s="1"/>
  <c r="S514" i="1"/>
  <c r="E514" i="1" s="1"/>
  <c r="S528" i="1"/>
  <c r="E528" i="1" s="1"/>
  <c r="S251" i="1"/>
  <c r="E251" i="1" s="1"/>
  <c r="S134" i="1"/>
  <c r="E134" i="1" s="1"/>
  <c r="S534" i="1"/>
  <c r="E534" i="1" s="1"/>
  <c r="S591" i="1"/>
  <c r="E591" i="1" s="1"/>
  <c r="S412" i="1"/>
  <c r="E412" i="1" s="1"/>
  <c r="S407" i="1"/>
  <c r="E407" i="1" s="1"/>
  <c r="S408" i="1"/>
  <c r="E408" i="1" s="1"/>
  <c r="S342" i="1"/>
  <c r="E342" i="1" s="1"/>
  <c r="S578" i="1"/>
  <c r="E578" i="1" s="1"/>
  <c r="S583" i="1"/>
  <c r="E583" i="1" s="1"/>
  <c r="S268" i="1"/>
  <c r="E268" i="1" s="1"/>
  <c r="S416" i="1"/>
  <c r="E416" i="1" s="1"/>
  <c r="S76" i="1"/>
  <c r="E76" i="1" s="1"/>
  <c r="S24" i="1"/>
  <c r="E24" i="1" s="1"/>
  <c r="S329" i="1"/>
  <c r="E329" i="1" s="1"/>
  <c r="S255" i="1"/>
  <c r="E255" i="1" s="1"/>
  <c r="S397" i="1"/>
  <c r="E397" i="1" s="1"/>
  <c r="S389" i="1"/>
  <c r="E389" i="1" s="1"/>
  <c r="S215" i="1"/>
  <c r="E215" i="1" s="1"/>
  <c r="S571" i="1"/>
  <c r="E571" i="1" s="1"/>
  <c r="S432" i="1"/>
  <c r="E432" i="1" s="1"/>
  <c r="S17" i="1"/>
  <c r="E17" i="1" s="1"/>
  <c r="S580" i="1"/>
  <c r="E580" i="1" s="1"/>
  <c r="S558" i="1"/>
  <c r="E558" i="1" s="1"/>
  <c r="S5" i="1"/>
  <c r="E5" i="1" s="1"/>
  <c r="S382" i="1"/>
  <c r="E382" i="1" s="1"/>
  <c r="S717" i="1"/>
  <c r="E717" i="1" s="1"/>
  <c r="S330" i="1"/>
  <c r="E330" i="1" s="1"/>
  <c r="S590" i="1"/>
  <c r="E590" i="1" s="1"/>
  <c r="S273" i="1"/>
  <c r="E273" i="1" s="1"/>
  <c r="S398" i="1"/>
  <c r="E398" i="1" s="1"/>
  <c r="S682" i="1"/>
  <c r="E682" i="1" s="1"/>
  <c r="S11" i="1"/>
  <c r="E11" i="1" s="1"/>
  <c r="S515" i="1"/>
  <c r="E515" i="1" s="1"/>
  <c r="S735" i="1"/>
  <c r="E735" i="1" s="1"/>
  <c r="S562" i="1"/>
  <c r="E562" i="1" s="1"/>
  <c r="S698" i="1"/>
  <c r="E698" i="1" s="1"/>
  <c r="S210" i="1"/>
  <c r="E210" i="1" s="1"/>
  <c r="S733" i="1"/>
  <c r="E733" i="1" s="1"/>
  <c r="S549" i="1"/>
  <c r="E549" i="1" s="1"/>
  <c r="S19" i="1"/>
  <c r="E19" i="1" s="1"/>
  <c r="S737" i="1"/>
  <c r="E737" i="1" s="1"/>
  <c r="S712" i="1"/>
  <c r="E712" i="1" s="1"/>
  <c r="S133" i="1"/>
  <c r="E133" i="1" s="1"/>
  <c r="S411" i="1"/>
  <c r="E411" i="1" s="1"/>
  <c r="S253" i="1"/>
  <c r="E253" i="1" s="1"/>
  <c r="S127" i="1"/>
  <c r="E127" i="1" s="1"/>
  <c r="S419" i="1"/>
  <c r="E419" i="1" s="1"/>
  <c r="S67" i="1"/>
  <c r="E67" i="1" s="1"/>
  <c r="S406" i="1"/>
  <c r="E406" i="1" s="1"/>
  <c r="S327" i="1"/>
  <c r="E327" i="1" s="1"/>
  <c r="S138" i="1"/>
  <c r="E138" i="1" s="1"/>
  <c r="S675" i="1"/>
  <c r="E675" i="1" s="1"/>
  <c r="S394" i="1"/>
  <c r="E394" i="1" s="1"/>
  <c r="S700" i="1"/>
  <c r="E700" i="1" s="1"/>
  <c r="S390" i="1"/>
  <c r="E390" i="1" s="1"/>
  <c r="S286" i="1"/>
  <c r="E286" i="1" s="1"/>
  <c r="S122" i="1"/>
  <c r="E122" i="1" s="1"/>
  <c r="S587" i="1"/>
  <c r="E587" i="1" s="1"/>
  <c r="S386" i="1"/>
  <c r="E386" i="1" s="1"/>
  <c r="S686" i="1"/>
  <c r="E686" i="1" s="1"/>
  <c r="S565" i="1"/>
  <c r="E565" i="1" s="1"/>
  <c r="S521" i="1"/>
  <c r="E521" i="1" s="1"/>
  <c r="S338" i="1"/>
  <c r="E338" i="1" s="1"/>
  <c r="S729" i="1"/>
  <c r="E729" i="1" s="1"/>
  <c r="S442" i="1"/>
  <c r="E442" i="1" s="1"/>
  <c r="S3" i="1"/>
  <c r="E3" i="1" s="1"/>
  <c r="S741" i="1"/>
  <c r="E741" i="1" s="1"/>
  <c r="S699" i="1"/>
  <c r="E699" i="1" s="1"/>
  <c r="S546" i="1"/>
  <c r="E546" i="1" s="1"/>
  <c r="S151" i="1"/>
  <c r="E151" i="1" s="1"/>
  <c r="S568" i="1"/>
  <c r="E568" i="1" s="1"/>
  <c r="S125" i="1"/>
  <c r="E125" i="1" s="1"/>
  <c r="S522" i="1"/>
  <c r="E522" i="1" s="1"/>
  <c r="S21" i="1"/>
  <c r="E21" i="1" s="1"/>
  <c r="S332" i="1"/>
  <c r="E332" i="1" s="1"/>
  <c r="S722" i="1"/>
  <c r="E722" i="1" s="1"/>
  <c r="S250" i="1"/>
  <c r="E250" i="1" s="1"/>
  <c r="S22" i="1"/>
  <c r="E22" i="1" s="1"/>
  <c r="S530" i="1"/>
  <c r="E530" i="1" s="1"/>
  <c r="S220" i="1"/>
  <c r="E220" i="1" s="1"/>
  <c r="S683" i="1"/>
  <c r="E683" i="1" s="1"/>
  <c r="S581" i="1"/>
  <c r="E581" i="1" s="1"/>
  <c r="S135" i="1"/>
  <c r="E135" i="1" s="1"/>
  <c r="S433" i="1"/>
  <c r="E433" i="1" s="1"/>
  <c r="S430" i="1"/>
  <c r="E430" i="1" s="1"/>
  <c r="S146" i="1"/>
  <c r="E146" i="1" s="1"/>
  <c r="S29" i="1"/>
  <c r="E29" i="1" s="1"/>
  <c r="S689" i="1"/>
  <c r="E689" i="1" s="1"/>
  <c r="S531" i="1"/>
  <c r="E531" i="1" s="1"/>
  <c r="S277" i="1"/>
  <c r="E277" i="1" s="1"/>
  <c r="S550" i="1"/>
  <c r="E550" i="1" s="1"/>
  <c r="S130" i="1"/>
  <c r="E130" i="1" s="1"/>
  <c r="S13" i="1"/>
  <c r="E13" i="1" s="1"/>
  <c r="S676" i="1"/>
  <c r="E676" i="1" s="1"/>
  <c r="S523" i="1"/>
  <c r="E523" i="1" s="1"/>
  <c r="S269" i="1"/>
  <c r="E269" i="1" s="1"/>
  <c r="S542" i="1"/>
  <c r="E542" i="1" s="1"/>
  <c r="S374" i="1"/>
  <c r="E374" i="1" s="1"/>
  <c r="S270" i="1"/>
  <c r="E270" i="1" s="1"/>
  <c r="S68" i="1"/>
  <c r="E68" i="1" s="1"/>
  <c r="S579" i="1"/>
  <c r="E579" i="1" s="1"/>
  <c r="S378" i="1"/>
  <c r="E378" i="1" s="1"/>
  <c r="S678" i="1"/>
  <c r="E678" i="1" s="1"/>
  <c r="S553" i="1"/>
  <c r="E553" i="1" s="1"/>
  <c r="S435" i="1"/>
  <c r="E435" i="1" s="1"/>
  <c r="S322" i="1"/>
  <c r="E322" i="1" s="1"/>
  <c r="S721" i="1"/>
  <c r="E721" i="1" s="1"/>
  <c r="S434" i="1"/>
  <c r="E434" i="1" s="1"/>
  <c r="S740" i="1"/>
  <c r="E740" i="1" s="1"/>
  <c r="S730" i="1"/>
  <c r="E730" i="1" s="1"/>
  <c r="S539" i="1"/>
  <c r="E539" i="1" s="1"/>
  <c r="S415" i="1"/>
  <c r="E415" i="1" s="1"/>
  <c r="S281" i="1"/>
  <c r="E281" i="1" s="1"/>
  <c r="S732" i="1"/>
  <c r="E732" i="1" s="1"/>
  <c r="S421" i="1"/>
  <c r="E421" i="1" s="1"/>
  <c r="S691" i="1"/>
  <c r="E691" i="1" s="1"/>
  <c r="S422" i="1"/>
  <c r="E422" i="1" s="1"/>
  <c r="S405" i="1"/>
  <c r="E405" i="1" s="1"/>
  <c r="S547" i="1"/>
  <c r="E547" i="1" s="1"/>
  <c r="S28" i="1"/>
  <c r="E28" i="1" s="1"/>
  <c r="S551" i="1"/>
  <c r="E551" i="1" s="1"/>
  <c r="S337" i="1"/>
  <c r="E337" i="1" s="1"/>
  <c r="S586" i="1"/>
  <c r="E586" i="1" s="1"/>
  <c r="S279" i="1"/>
  <c r="E279" i="1" s="1"/>
  <c r="S545" i="1"/>
  <c r="E545" i="1" s="1"/>
  <c r="S423" i="1"/>
  <c r="E423" i="1" s="1"/>
  <c r="S413" i="1"/>
  <c r="E413" i="1" s="1"/>
  <c r="S145" i="1"/>
  <c r="E145" i="1" s="1"/>
  <c r="S341" i="1"/>
  <c r="E341" i="1" s="1"/>
  <c r="S207" i="1"/>
  <c r="E207" i="1" s="1"/>
  <c r="S560" i="1"/>
  <c r="E560" i="1" s="1"/>
  <c r="S555" i="1"/>
  <c r="E555" i="1" s="1"/>
  <c r="S561" i="1"/>
  <c r="E561" i="1" s="1"/>
  <c r="S280" i="1"/>
  <c r="E280" i="1" s="1"/>
  <c r="S324" i="1"/>
  <c r="E324" i="1" s="1"/>
  <c r="S548" i="1"/>
  <c r="E548" i="1" s="1"/>
  <c r="S272" i="1"/>
  <c r="E272" i="1" s="1"/>
  <c r="S291" i="1"/>
  <c r="E291" i="1" s="1"/>
  <c r="S723" i="1"/>
  <c r="E723" i="1" s="1"/>
  <c r="S381" i="1"/>
  <c r="E381" i="1" s="1"/>
  <c r="S400" i="1"/>
  <c r="E400" i="1" s="1"/>
  <c r="S593" i="1"/>
  <c r="E593" i="1" s="1"/>
  <c r="S437" i="1"/>
  <c r="E437" i="1" s="1"/>
  <c r="S526" i="1"/>
  <c r="E526" i="1" s="1"/>
  <c r="S536" i="1"/>
  <c r="E536" i="1" s="1"/>
  <c r="S395" i="1"/>
  <c r="E395" i="1" s="1"/>
  <c r="S727" i="1"/>
  <c r="E727" i="1" s="1"/>
  <c r="S343" i="1"/>
  <c r="E343" i="1" s="1"/>
  <c r="S708" i="1"/>
  <c r="E708" i="1" s="1"/>
  <c r="S139" i="1"/>
  <c r="E139" i="1" s="1"/>
  <c r="S124" i="1"/>
  <c r="E124" i="1" s="1"/>
  <c r="S224" i="1"/>
  <c r="E224" i="1" s="1"/>
  <c r="S719" i="1"/>
  <c r="E719" i="1" s="1"/>
  <c r="S409" i="1"/>
  <c r="E409" i="1" s="1"/>
  <c r="S208" i="1"/>
  <c r="E208" i="1" s="1"/>
  <c r="S706" i="1"/>
  <c r="E706" i="1" s="1"/>
  <c r="S401" i="1"/>
  <c r="E401" i="1" s="1"/>
  <c r="S404" i="1"/>
  <c r="E404" i="1" s="1"/>
  <c r="S136" i="1"/>
  <c r="E136" i="1" s="1"/>
  <c r="S527" i="1"/>
  <c r="E527" i="1" s="1"/>
  <c r="S577" i="1"/>
  <c r="E577" i="1" s="1"/>
  <c r="S380" i="1"/>
  <c r="E380" i="1" s="1"/>
  <c r="S72" i="1"/>
  <c r="E72" i="1" s="1"/>
  <c r="S573" i="1"/>
  <c r="E573" i="1" s="1"/>
  <c r="S540" i="1"/>
  <c r="E540" i="1" s="1"/>
  <c r="S387" i="1"/>
  <c r="E387" i="1" s="1"/>
  <c r="S290" i="1"/>
  <c r="E290" i="1" s="1"/>
  <c r="S340" i="1"/>
  <c r="E340" i="1" s="1"/>
  <c r="S59" i="1"/>
  <c r="E59" i="1" s="1"/>
  <c r="S685" i="1"/>
  <c r="E685" i="1" s="1"/>
  <c r="S69" i="1"/>
  <c r="E69" i="1" s="1"/>
  <c r="S529" i="1"/>
  <c r="E529" i="1" s="1"/>
  <c r="S7" i="1"/>
  <c r="E7" i="1" s="1"/>
  <c r="S292" i="1"/>
  <c r="E292" i="1" s="1"/>
  <c r="S26" i="1"/>
  <c r="E26" i="1" s="1"/>
  <c r="S567" i="1"/>
  <c r="E567" i="1" s="1"/>
  <c r="S25" i="1"/>
  <c r="E25" i="1" s="1"/>
  <c r="S443" i="1"/>
  <c r="E443" i="1" s="1"/>
  <c r="S734" i="1"/>
  <c r="E734" i="1" s="1"/>
  <c r="S284" i="1"/>
  <c r="E284" i="1" s="1"/>
  <c r="S18" i="1"/>
  <c r="E18" i="1" s="1"/>
  <c r="S144" i="1"/>
  <c r="E144" i="1" s="1"/>
  <c r="S282" i="1"/>
  <c r="E282" i="1" s="1"/>
  <c r="S687" i="1"/>
  <c r="E687" i="1" s="1"/>
  <c r="S121" i="1"/>
  <c r="E121" i="1" s="1"/>
  <c r="S393" i="1"/>
  <c r="E393" i="1" s="1"/>
  <c r="S140" i="1"/>
  <c r="E140" i="1" s="1"/>
  <c r="S388" i="1"/>
  <c r="E388" i="1" s="1"/>
  <c r="S517" i="1"/>
  <c r="E517" i="1" s="1"/>
  <c r="S120" i="1"/>
  <c r="E120" i="1" s="1"/>
  <c r="S225" i="1"/>
  <c r="E225" i="1" s="1"/>
  <c r="S519" i="1"/>
  <c r="E519" i="1" s="1"/>
  <c r="S275" i="1"/>
  <c r="E275" i="1" s="1"/>
  <c r="S414" i="1"/>
  <c r="E414" i="1" s="1"/>
  <c r="S12" i="1"/>
  <c r="E12" i="1" s="1"/>
  <c r="S16" i="1"/>
  <c r="E16" i="1" s="1"/>
  <c r="S710" i="1"/>
  <c r="E710" i="1" s="1"/>
  <c r="S248" i="1"/>
  <c r="E248" i="1" s="1"/>
  <c r="S391" i="1"/>
  <c r="E391" i="1" s="1"/>
  <c r="S150" i="1"/>
  <c r="E150" i="1" s="1"/>
  <c r="S383" i="1"/>
  <c r="E383" i="1" s="1"/>
  <c r="S715" i="1"/>
  <c r="E715" i="1" s="1"/>
  <c r="S552" i="1"/>
  <c r="E552" i="1" s="1"/>
  <c r="S78" i="1"/>
  <c r="E78" i="1" s="1"/>
  <c r="S326" i="1"/>
  <c r="E326" i="1" s="1"/>
  <c r="S289" i="1"/>
  <c r="E289" i="1" s="1"/>
  <c r="S20" i="1"/>
  <c r="E20" i="1" s="1"/>
  <c r="S288" i="1"/>
  <c r="E288" i="1" s="1"/>
  <c r="S557" i="1"/>
  <c r="E557" i="1" s="1"/>
  <c r="S438" i="1"/>
  <c r="E438" i="1" s="1"/>
  <c r="S714" i="1"/>
  <c r="E714" i="1" s="1"/>
  <c r="S226" i="1"/>
  <c r="E226" i="1" s="1"/>
  <c r="S544" i="1"/>
  <c r="E544" i="1" s="1"/>
  <c r="S436" i="1"/>
  <c r="E436" i="1" s="1"/>
  <c r="S216" i="1"/>
  <c r="E216" i="1" s="1"/>
  <c r="S4" i="1"/>
  <c r="E4" i="1" s="1"/>
  <c r="S420" i="1"/>
  <c r="E420" i="1" s="1"/>
  <c r="S152" i="1"/>
  <c r="E152" i="1" s="1"/>
  <c r="S535" i="1"/>
  <c r="E535" i="1" s="1"/>
  <c r="S589" i="1"/>
  <c r="E589" i="1" s="1"/>
  <c r="S396" i="1"/>
  <c r="E396" i="1" s="1"/>
  <c r="S118" i="1"/>
  <c r="E118" i="1" s="1"/>
  <c r="S60" i="1"/>
  <c r="E60" i="1" s="1"/>
  <c r="S570" i="1"/>
  <c r="E570" i="1" s="1"/>
  <c r="S222" i="1"/>
  <c r="E222" i="1" s="1"/>
  <c r="S73" i="1"/>
  <c r="E73" i="1" s="1"/>
  <c r="S541" i="1"/>
  <c r="E541" i="1" s="1"/>
  <c r="S524" i="1"/>
  <c r="E524" i="1" s="1"/>
  <c r="S153" i="1"/>
  <c r="E153" i="1" s="1"/>
  <c r="S402" i="1"/>
  <c r="E402" i="1" s="1"/>
  <c r="S219" i="1"/>
  <c r="E219" i="1" s="1"/>
  <c r="S582" i="1"/>
  <c r="E582" i="1" s="1"/>
  <c r="S377" i="1"/>
  <c r="E377" i="1" s="1"/>
  <c r="S339" i="1"/>
  <c r="E339" i="1" s="1"/>
  <c r="S137" i="1"/>
  <c r="E137" i="1" s="1"/>
  <c r="S156" i="1"/>
  <c r="E156" i="1" s="1"/>
  <c r="S323" i="1"/>
  <c r="E323" i="1" s="1"/>
  <c r="S129" i="1"/>
  <c r="E129" i="1" s="1"/>
  <c r="S148" i="1"/>
  <c r="E148" i="1" s="1"/>
  <c r="S533" i="1"/>
  <c r="E533" i="1" s="1"/>
  <c r="S254" i="1"/>
  <c r="E254" i="1" s="1"/>
  <c r="S283" i="1"/>
  <c r="E283" i="1" s="1"/>
  <c r="S711" i="1"/>
  <c r="E711" i="1" s="1"/>
  <c r="S345" i="1"/>
  <c r="E345" i="1" s="1"/>
  <c r="S392" i="1"/>
  <c r="E392" i="1" s="1"/>
  <c r="S285" i="1"/>
  <c r="E285" i="1" s="1"/>
  <c r="S713" i="1"/>
  <c r="E713" i="1" s="1"/>
  <c r="S739" i="1"/>
  <c r="E739" i="1" s="1"/>
  <c r="S410" i="1"/>
  <c r="E410" i="1" s="1"/>
  <c r="S23" i="1"/>
  <c r="E23" i="1" s="1"/>
  <c r="S79" i="1"/>
  <c r="E79" i="1" s="1"/>
  <c r="S249" i="1"/>
  <c r="E249" i="1" s="1"/>
  <c r="S588" i="1"/>
  <c r="E588" i="1" s="1"/>
  <c r="S211" i="1"/>
  <c r="E211" i="1" s="1"/>
  <c r="S738" i="1"/>
  <c r="E738" i="1" s="1"/>
  <c r="S585" i="1"/>
  <c r="E585" i="1" s="1"/>
  <c r="S278" i="1"/>
  <c r="E278" i="1" s="1"/>
  <c r="S592" i="1"/>
  <c r="E592" i="1" s="1"/>
  <c r="S149" i="1"/>
  <c r="E149" i="1" s="1"/>
  <c r="S131" i="1"/>
  <c r="E131" i="1" s="1"/>
  <c r="S725" i="1"/>
  <c r="E725" i="1" s="1"/>
  <c r="S572" i="1"/>
  <c r="E572" i="1" s="1"/>
  <c r="S252" i="1"/>
  <c r="E252" i="1" s="1"/>
  <c r="S584" i="1"/>
  <c r="E584" i="1" s="1"/>
  <c r="S141" i="1"/>
  <c r="E141" i="1" s="1"/>
  <c r="S704" i="1"/>
  <c r="E704" i="1" s="1"/>
  <c r="S525" i="1"/>
  <c r="E525" i="1" s="1"/>
  <c r="S9" i="1"/>
  <c r="E9" i="1" s="1"/>
  <c r="S427" i="1"/>
  <c r="E427" i="1" s="1"/>
  <c r="S726" i="1"/>
  <c r="E726" i="1" s="1"/>
  <c r="S276" i="1"/>
  <c r="E276" i="1" s="1"/>
  <c r="S10" i="1"/>
  <c r="E10" i="1" s="1"/>
  <c r="S128" i="1"/>
  <c r="E128" i="1" s="1"/>
  <c r="S256" i="1"/>
  <c r="E256" i="1" s="1"/>
  <c r="S674" i="1"/>
  <c r="E674" i="1" s="1"/>
  <c r="S75" i="1"/>
  <c r="E75" i="1" s="1"/>
  <c r="S385" i="1"/>
  <c r="E385" i="1" s="1"/>
  <c r="S684" i="1"/>
  <c r="E684" i="1" s="1"/>
  <c r="S707" i="1"/>
  <c r="E707" i="1" s="1"/>
  <c r="S27" i="1"/>
  <c r="E27" i="1" s="1"/>
  <c r="S331" i="1"/>
  <c r="E331" i="1" s="1"/>
  <c r="S426" i="1"/>
  <c r="E426" i="1" s="1"/>
  <c r="S403" i="1"/>
  <c r="E403" i="1" s="1"/>
  <c r="S399" i="1"/>
  <c r="E399" i="1" s="1"/>
  <c r="S716" i="1"/>
  <c r="E716" i="1" s="1"/>
  <c r="S154" i="1"/>
  <c r="E154" i="1" s="1"/>
  <c r="S74" i="1"/>
  <c r="E74" i="1" s="1"/>
  <c r="S221" i="1"/>
  <c r="E221" i="1" s="1"/>
  <c r="S575" i="1"/>
  <c r="E575" i="1" s="1"/>
  <c r="S58" i="1"/>
  <c r="E58" i="1" s="1"/>
  <c r="S8" i="1"/>
  <c r="E8" i="1" s="1"/>
  <c r="S564" i="1"/>
  <c r="E564" i="1" s="1"/>
  <c r="S424" i="1"/>
  <c r="E424" i="1" s="1"/>
  <c r="S417" i="1"/>
  <c r="E417" i="1" s="1"/>
  <c r="AN8" i="1"/>
  <c r="AM7" i="1"/>
  <c r="Z2" i="1"/>
  <c r="AN3" i="1"/>
  <c r="AN2" i="1"/>
  <c r="AM3" i="1"/>
  <c r="AL3" i="1"/>
  <c r="U674" i="1"/>
  <c r="S379" i="1"/>
  <c r="E379" i="1" s="1"/>
  <c r="S554" i="1"/>
  <c r="E554" i="1" s="1"/>
  <c r="S429" i="1"/>
  <c r="E429" i="1" s="1"/>
  <c r="S518" i="1"/>
  <c r="E518" i="1" s="1"/>
  <c r="S439" i="1"/>
  <c r="E439" i="1" s="1"/>
  <c r="S287" i="1"/>
  <c r="E287" i="1" s="1"/>
  <c r="S6" i="1"/>
  <c r="E6" i="1" s="1"/>
  <c r="S425" i="1"/>
  <c r="E425" i="1" s="1"/>
  <c r="S271" i="1"/>
  <c r="E271" i="1" s="1"/>
  <c r="S731" i="1"/>
  <c r="E731" i="1" s="1"/>
  <c r="S728" i="1"/>
  <c r="E728" i="1" s="1"/>
  <c r="S702" i="1"/>
  <c r="E702" i="1" s="1"/>
  <c r="S212" i="1"/>
  <c r="E212" i="1" s="1"/>
  <c r="S119" i="1"/>
  <c r="E119" i="1" s="1"/>
  <c r="S71" i="1"/>
  <c r="E71" i="1" s="1"/>
  <c r="S63" i="1"/>
  <c r="E63" i="1" s="1"/>
  <c r="S142" i="1"/>
  <c r="E142" i="1" s="1"/>
  <c r="S64" i="1"/>
  <c r="E64" i="1" s="1"/>
  <c r="S720" i="1"/>
  <c r="E720" i="1" s="1"/>
  <c r="S538" i="1"/>
  <c r="E538" i="1" s="1"/>
  <c r="S543" i="1"/>
  <c r="E543" i="1" s="1"/>
  <c r="S325" i="1"/>
  <c r="E325" i="1" s="1"/>
  <c r="S705" i="1"/>
  <c r="E705" i="1" s="1"/>
  <c r="S431" i="1"/>
  <c r="E431" i="1" s="1"/>
  <c r="S217" i="1"/>
  <c r="E217" i="1" s="1"/>
  <c r="S257" i="1"/>
  <c r="E257" i="1" s="1"/>
  <c r="S709" i="1"/>
  <c r="E709" i="1" s="1"/>
  <c r="S147" i="1"/>
  <c r="E147" i="1" s="1"/>
  <c r="S335" i="1"/>
  <c r="E335" i="1" s="1"/>
  <c r="S213" i="1"/>
  <c r="E213" i="1" s="1"/>
  <c r="S61" i="1"/>
  <c r="E61" i="1" s="1"/>
  <c r="S319" i="1"/>
  <c r="E319" i="1" s="1"/>
  <c r="S724" i="1"/>
  <c r="E724" i="1" s="1"/>
  <c r="S206" i="1"/>
  <c r="E206" i="1" s="1"/>
  <c r="S681" i="1"/>
  <c r="E681" i="1" s="1"/>
  <c r="S418" i="1"/>
  <c r="E418" i="1" s="1"/>
  <c r="S70" i="1"/>
  <c r="E70" i="1" s="1"/>
  <c r="S703" i="1"/>
  <c r="E703" i="1" s="1"/>
  <c r="S333" i="1"/>
  <c r="E333" i="1" s="1"/>
  <c r="S574" i="1"/>
  <c r="E574" i="1" s="1"/>
  <c r="S209" i="1"/>
  <c r="E209" i="1" s="1"/>
  <c r="S143" i="1"/>
  <c r="E143" i="1" s="1"/>
  <c r="S132" i="1"/>
  <c r="E132" i="1" s="1"/>
  <c r="S123" i="1"/>
  <c r="E123" i="1" s="1"/>
  <c r="S15" i="1"/>
  <c r="E15" i="1" s="1"/>
  <c r="S62" i="1"/>
  <c r="E62" i="1" s="1"/>
  <c r="S344" i="1"/>
  <c r="E344" i="1" s="1"/>
  <c r="S66" i="1"/>
  <c r="E66" i="1" s="1"/>
  <c r="S441" i="1"/>
  <c r="E441" i="1" s="1"/>
  <c r="S328" i="1"/>
  <c r="E328" i="1" s="1"/>
  <c r="S375" i="1"/>
  <c r="E375" i="1" s="1"/>
  <c r="S690" i="1"/>
  <c r="E690" i="1" s="1"/>
  <c r="S688" i="1"/>
  <c r="E688" i="1" s="1"/>
  <c r="S274" i="1"/>
  <c r="E274" i="1" s="1"/>
  <c r="S677" i="1"/>
  <c r="E677" i="1" s="1"/>
  <c r="S680" i="1"/>
  <c r="E680" i="1" s="1"/>
  <c r="S516" i="1"/>
  <c r="E516" i="1" s="1"/>
  <c r="S556" i="1"/>
  <c r="E556" i="1" s="1"/>
  <c r="S566" i="1"/>
  <c r="E566" i="1" s="1"/>
  <c r="S336" i="1"/>
  <c r="E336" i="1" s="1"/>
  <c r="S320" i="1"/>
  <c r="E320" i="1" s="1"/>
  <c r="S569" i="1"/>
  <c r="E569" i="1" s="1"/>
  <c r="S679" i="1"/>
  <c r="E679" i="1" s="1"/>
  <c r="S157" i="1"/>
  <c r="E157" i="1" s="1"/>
  <c r="S334" i="1"/>
  <c r="E334" i="1" s="1"/>
  <c r="S2" i="1"/>
  <c r="E2" i="1" s="1"/>
  <c r="S563" i="1"/>
  <c r="E563" i="1" s="1"/>
  <c r="S318" i="1"/>
  <c r="E318" i="1" s="1"/>
  <c r="S14" i="1"/>
  <c r="E14" i="1" s="1"/>
  <c r="S321" i="1"/>
  <c r="E321" i="1" s="1"/>
  <c r="S440" i="1"/>
  <c r="E440" i="1" s="1"/>
  <c r="S384" i="1"/>
  <c r="E384" i="1" s="1"/>
  <c r="S376" i="1"/>
  <c r="E376" i="1" s="1"/>
  <c r="S65" i="1"/>
  <c r="E65" i="1" s="1"/>
  <c r="S532" i="1"/>
  <c r="E532" i="1" s="1"/>
  <c r="V2" i="1"/>
  <c r="X249" i="1"/>
  <c r="X2" i="1"/>
  <c r="O2" i="1" s="1"/>
  <c r="F2" i="1" s="1"/>
  <c r="X3" i="4"/>
  <c r="U248" i="1"/>
  <c r="U2" i="1"/>
  <c r="AO685" i="1"/>
  <c r="AO710" i="1"/>
  <c r="AO725" i="1"/>
  <c r="AO676" i="1"/>
  <c r="AO732" i="1"/>
  <c r="AO677" i="1"/>
  <c r="AO733" i="1"/>
  <c r="AO680" i="1"/>
  <c r="AO734" i="1"/>
  <c r="AO681" i="1"/>
  <c r="AO735" i="1"/>
  <c r="AO724" i="1"/>
  <c r="AO689" i="1"/>
  <c r="AO711" i="1"/>
  <c r="AO726" i="1"/>
  <c r="AO713" i="1"/>
  <c r="AO717" i="1"/>
  <c r="AO718" i="1"/>
  <c r="AO719" i="1"/>
  <c r="AO684" i="1"/>
  <c r="AO690" i="1"/>
  <c r="AO712" i="1"/>
  <c r="AO727" i="1"/>
  <c r="AO691" i="1"/>
  <c r="AO702" i="1"/>
  <c r="AO703" i="1"/>
  <c r="AO704" i="1"/>
  <c r="AO705" i="1"/>
  <c r="AO249" i="1"/>
  <c r="AO251" i="1"/>
  <c r="AO257" i="1"/>
  <c r="AO253" i="1"/>
  <c r="AO255" i="1"/>
  <c r="AO325" i="1"/>
  <c r="AO341" i="1"/>
  <c r="AO340" i="1"/>
  <c r="AO328" i="1"/>
  <c r="AO344" i="1"/>
  <c r="AO332" i="1"/>
  <c r="AO320" i="1"/>
  <c r="AO337" i="1"/>
  <c r="AO329" i="1"/>
  <c r="AO345" i="1"/>
  <c r="AO333" i="1"/>
  <c r="AO336" i="1"/>
  <c r="AO321" i="1"/>
  <c r="AO324" i="1"/>
  <c r="Y342" i="1"/>
  <c r="T342" i="1" s="1"/>
  <c r="T2" i="1"/>
  <c r="T10" i="1"/>
  <c r="T18" i="1"/>
  <c r="T26" i="1"/>
  <c r="T62" i="1"/>
  <c r="T70" i="1"/>
  <c r="T78" i="1"/>
  <c r="T124" i="1"/>
  <c r="T132" i="1"/>
  <c r="T140" i="1"/>
  <c r="T148" i="1"/>
  <c r="T156" i="1"/>
  <c r="T212" i="1"/>
  <c r="T220" i="1"/>
  <c r="T249" i="1"/>
  <c r="T257" i="1"/>
  <c r="T275" i="1"/>
  <c r="T283" i="1"/>
  <c r="T291" i="1"/>
  <c r="T376" i="1"/>
  <c r="T384" i="1"/>
  <c r="T392" i="1"/>
  <c r="T400" i="1"/>
  <c r="T408" i="1"/>
  <c r="T416" i="1"/>
  <c r="T424" i="1"/>
  <c r="T432" i="1"/>
  <c r="T440" i="1"/>
  <c r="T518" i="1"/>
  <c r="T526" i="1"/>
  <c r="T534" i="1"/>
  <c r="T542" i="1"/>
  <c r="T550" i="1"/>
  <c r="T558" i="1"/>
  <c r="T566" i="1"/>
  <c r="T574" i="1"/>
  <c r="T582" i="1"/>
  <c r="T590" i="1"/>
  <c r="T678" i="1"/>
  <c r="T686" i="1"/>
  <c r="T700" i="1"/>
  <c r="T708" i="1"/>
  <c r="T716" i="1"/>
  <c r="T724" i="1"/>
  <c r="T732" i="1"/>
  <c r="T740" i="1"/>
  <c r="T13" i="1"/>
  <c r="T127" i="1"/>
  <c r="T151" i="1"/>
  <c r="T215" i="1"/>
  <c r="T270" i="1"/>
  <c r="T286" i="1"/>
  <c r="T387" i="1"/>
  <c r="T403" i="1"/>
  <c r="T427" i="1"/>
  <c r="T521" i="1"/>
  <c r="T545" i="1"/>
  <c r="T569" i="1"/>
  <c r="T585" i="1"/>
  <c r="T689" i="1"/>
  <c r="T719" i="1"/>
  <c r="T3" i="1"/>
  <c r="T11" i="1"/>
  <c r="T19" i="1"/>
  <c r="T27" i="1"/>
  <c r="T63" i="1"/>
  <c r="T71" i="1"/>
  <c r="T79" i="1"/>
  <c r="T125" i="1"/>
  <c r="T133" i="1"/>
  <c r="T141" i="1"/>
  <c r="T149" i="1"/>
  <c r="T157" i="1"/>
  <c r="T213" i="1"/>
  <c r="T221" i="1"/>
  <c r="T250" i="1"/>
  <c r="T268" i="1"/>
  <c r="T276" i="1"/>
  <c r="T284" i="1"/>
  <c r="T292" i="1"/>
  <c r="T377" i="1"/>
  <c r="T385" i="1"/>
  <c r="T393" i="1"/>
  <c r="T401" i="1"/>
  <c r="T409" i="1"/>
  <c r="T417" i="1"/>
  <c r="T425" i="1"/>
  <c r="T433" i="1"/>
  <c r="T441" i="1"/>
  <c r="T519" i="1"/>
  <c r="T527" i="1"/>
  <c r="T535" i="1"/>
  <c r="T543" i="1"/>
  <c r="T551" i="1"/>
  <c r="T559" i="1"/>
  <c r="T567" i="1"/>
  <c r="T575" i="1"/>
  <c r="T583" i="1"/>
  <c r="T591" i="1"/>
  <c r="T679" i="1"/>
  <c r="T687" i="1"/>
  <c r="T701" i="1"/>
  <c r="T709" i="1"/>
  <c r="T717" i="1"/>
  <c r="T725" i="1"/>
  <c r="T733" i="1"/>
  <c r="T741" i="1"/>
  <c r="T21" i="1"/>
  <c r="T252" i="1"/>
  <c r="T379" i="1"/>
  <c r="T411" i="1"/>
  <c r="T435" i="1"/>
  <c r="T529" i="1"/>
  <c r="T553" i="1"/>
  <c r="T577" i="1"/>
  <c r="T681" i="1"/>
  <c r="T711" i="1"/>
  <c r="T4" i="1"/>
  <c r="T12" i="1"/>
  <c r="T20" i="1"/>
  <c r="T28" i="1"/>
  <c r="T64" i="1"/>
  <c r="T72" i="1"/>
  <c r="T118" i="1"/>
  <c r="T126" i="1"/>
  <c r="T134" i="1"/>
  <c r="T142" i="1"/>
  <c r="T150" i="1"/>
  <c r="T206" i="1"/>
  <c r="T214" i="1"/>
  <c r="T222" i="1"/>
  <c r="T251" i="1"/>
  <c r="T269" i="1"/>
  <c r="T277" i="1"/>
  <c r="T285" i="1"/>
  <c r="T378" i="1"/>
  <c r="T386" i="1"/>
  <c r="T394" i="1"/>
  <c r="T402" i="1"/>
  <c r="T410" i="1"/>
  <c r="T418" i="1"/>
  <c r="T426" i="1"/>
  <c r="T434" i="1"/>
  <c r="T442" i="1"/>
  <c r="T520" i="1"/>
  <c r="T528" i="1"/>
  <c r="T536" i="1"/>
  <c r="T544" i="1"/>
  <c r="T552" i="1"/>
  <c r="T560" i="1"/>
  <c r="T568" i="1"/>
  <c r="T576" i="1"/>
  <c r="T584" i="1"/>
  <c r="T592" i="1"/>
  <c r="T680" i="1"/>
  <c r="T688" i="1"/>
  <c r="T702" i="1"/>
  <c r="T710" i="1"/>
  <c r="T718" i="1"/>
  <c r="T726" i="1"/>
  <c r="T734" i="1"/>
  <c r="T5" i="1"/>
  <c r="T29" i="1"/>
  <c r="T65" i="1"/>
  <c r="T73" i="1"/>
  <c r="T119" i="1"/>
  <c r="T135" i="1"/>
  <c r="T143" i="1"/>
  <c r="T207" i="1"/>
  <c r="T223" i="1"/>
  <c r="T278" i="1"/>
  <c r="T395" i="1"/>
  <c r="T419" i="1"/>
  <c r="T443" i="1"/>
  <c r="T537" i="1"/>
  <c r="T561" i="1"/>
  <c r="T593" i="1"/>
  <c r="T703" i="1"/>
  <c r="T7" i="1"/>
  <c r="T15" i="1"/>
  <c r="T23" i="1"/>
  <c r="T59" i="1"/>
  <c r="T67" i="1"/>
  <c r="T75" i="1"/>
  <c r="T121" i="1"/>
  <c r="T129" i="1"/>
  <c r="T137" i="1"/>
  <c r="T145" i="1"/>
  <c r="T153" i="1"/>
  <c r="T209" i="1"/>
  <c r="T217" i="1"/>
  <c r="T225" i="1"/>
  <c r="T254" i="1"/>
  <c r="T272" i="1"/>
  <c r="T280" i="1"/>
  <c r="T288" i="1"/>
  <c r="T381" i="1"/>
  <c r="T389" i="1"/>
  <c r="T397" i="1"/>
  <c r="T405" i="1"/>
  <c r="T413" i="1"/>
  <c r="T421" i="1"/>
  <c r="T429" i="1"/>
  <c r="T437" i="1"/>
  <c r="T515" i="1"/>
  <c r="T523" i="1"/>
  <c r="T531" i="1"/>
  <c r="T539" i="1"/>
  <c r="T547" i="1"/>
  <c r="T555" i="1"/>
  <c r="T563" i="1"/>
  <c r="T571" i="1"/>
  <c r="T579" i="1"/>
  <c r="T587" i="1"/>
  <c r="T675" i="1"/>
  <c r="T683" i="1"/>
  <c r="T691" i="1"/>
  <c r="T705" i="1"/>
  <c r="T713" i="1"/>
  <c r="T721" i="1"/>
  <c r="T729" i="1"/>
  <c r="T737" i="1"/>
  <c r="T8" i="1"/>
  <c r="T16" i="1"/>
  <c r="T24" i="1"/>
  <c r="T60" i="1"/>
  <c r="T68" i="1"/>
  <c r="T76" i="1"/>
  <c r="T122" i="1"/>
  <c r="T130" i="1"/>
  <c r="T138" i="1"/>
  <c r="T146" i="1"/>
  <c r="T154" i="1"/>
  <c r="T210" i="1"/>
  <c r="T218" i="1"/>
  <c r="T226" i="1"/>
  <c r="T255" i="1"/>
  <c r="T273" i="1"/>
  <c r="T281" i="1"/>
  <c r="T289" i="1"/>
  <c r="T374" i="1"/>
  <c r="T382" i="1"/>
  <c r="T390" i="1"/>
  <c r="T398" i="1"/>
  <c r="T406" i="1"/>
  <c r="T414" i="1"/>
  <c r="T422" i="1"/>
  <c r="T430" i="1"/>
  <c r="T438" i="1"/>
  <c r="T516" i="1"/>
  <c r="T524" i="1"/>
  <c r="T532" i="1"/>
  <c r="T540" i="1"/>
  <c r="T548" i="1"/>
  <c r="T556" i="1"/>
  <c r="T564" i="1"/>
  <c r="T6" i="1"/>
  <c r="T66" i="1"/>
  <c r="T136" i="1"/>
  <c r="T216" i="1"/>
  <c r="T279" i="1"/>
  <c r="T396" i="1"/>
  <c r="T428" i="1"/>
  <c r="T530" i="1"/>
  <c r="T562" i="1"/>
  <c r="T586" i="1"/>
  <c r="T685" i="1"/>
  <c r="T714" i="1"/>
  <c r="T731" i="1"/>
  <c r="T77" i="1"/>
  <c r="T439" i="1"/>
  <c r="T674" i="1"/>
  <c r="T722" i="1"/>
  <c r="T120" i="1"/>
  <c r="T514" i="1"/>
  <c r="T676" i="1"/>
  <c r="T739" i="1"/>
  <c r="T211" i="1"/>
  <c r="T684" i="1"/>
  <c r="T9" i="1"/>
  <c r="T69" i="1"/>
  <c r="T139" i="1"/>
  <c r="T219" i="1"/>
  <c r="T282" i="1"/>
  <c r="T399" i="1"/>
  <c r="T431" i="1"/>
  <c r="T533" i="1"/>
  <c r="T565" i="1"/>
  <c r="T588" i="1"/>
  <c r="T690" i="1"/>
  <c r="T715" i="1"/>
  <c r="T735" i="1"/>
  <c r="T147" i="1"/>
  <c r="T738" i="1"/>
  <c r="T22" i="1"/>
  <c r="T253" i="1"/>
  <c r="T412" i="1"/>
  <c r="T573" i="1"/>
  <c r="T723" i="1"/>
  <c r="T131" i="1"/>
  <c r="T557" i="1"/>
  <c r="T14" i="1"/>
  <c r="T74" i="1"/>
  <c r="T144" i="1"/>
  <c r="T224" i="1"/>
  <c r="T287" i="1"/>
  <c r="T404" i="1"/>
  <c r="T436" i="1"/>
  <c r="T538" i="1"/>
  <c r="T570" i="1"/>
  <c r="T589" i="1"/>
  <c r="T698" i="1"/>
  <c r="T720" i="1"/>
  <c r="T736" i="1"/>
  <c r="T17" i="1"/>
  <c r="T248" i="1"/>
  <c r="T290" i="1"/>
  <c r="T375" i="1"/>
  <c r="T407" i="1"/>
  <c r="T541" i="1"/>
  <c r="T572" i="1"/>
  <c r="T699" i="1"/>
  <c r="T152" i="1"/>
  <c r="T380" i="1"/>
  <c r="T546" i="1"/>
  <c r="T704" i="1"/>
  <c r="T274" i="1"/>
  <c r="T712" i="1"/>
  <c r="T25" i="1"/>
  <c r="T123" i="1"/>
  <c r="T155" i="1"/>
  <c r="T256" i="1"/>
  <c r="T383" i="1"/>
  <c r="T415" i="1"/>
  <c r="T517" i="1"/>
  <c r="T549" i="1"/>
  <c r="T578" i="1"/>
  <c r="T677" i="1"/>
  <c r="T706" i="1"/>
  <c r="T727" i="1"/>
  <c r="T58" i="1"/>
  <c r="T128" i="1"/>
  <c r="T208" i="1"/>
  <c r="T271" i="1"/>
  <c r="T388" i="1"/>
  <c r="T420" i="1"/>
  <c r="T522" i="1"/>
  <c r="T554" i="1"/>
  <c r="T580" i="1"/>
  <c r="T682" i="1"/>
  <c r="T707" i="1"/>
  <c r="T728" i="1"/>
  <c r="T61" i="1"/>
  <c r="T391" i="1"/>
  <c r="T423" i="1"/>
  <c r="T525" i="1"/>
  <c r="T581" i="1"/>
  <c r="T730" i="1"/>
  <c r="Z118" i="1"/>
  <c r="AQ2" i="4"/>
  <c r="U737" i="1"/>
  <c r="U739" i="1"/>
  <c r="AO741" i="1"/>
  <c r="U740" i="1"/>
  <c r="U741" i="1"/>
  <c r="X741" i="1"/>
  <c r="AO740" i="1"/>
  <c r="Z737" i="1"/>
  <c r="X740" i="1"/>
  <c r="Z740" i="1"/>
  <c r="Z738" i="1"/>
  <c r="X739" i="1"/>
  <c r="U738" i="1"/>
  <c r="AO739" i="1"/>
  <c r="Z739" i="1"/>
  <c r="Z741" i="1"/>
  <c r="AL740" i="1"/>
  <c r="AN740" i="1"/>
  <c r="AL739" i="1"/>
  <c r="AL741" i="1"/>
  <c r="AN739" i="1"/>
  <c r="AN741" i="1"/>
  <c r="U736" i="1"/>
  <c r="Z736" i="1"/>
  <c r="AN738" i="1"/>
  <c r="AL738" i="1"/>
  <c r="V738" i="1"/>
  <c r="X738" i="1"/>
  <c r="W738" i="1"/>
  <c r="N738" i="1" s="1"/>
  <c r="G738" i="1" s="1"/>
  <c r="AL737" i="1"/>
  <c r="AN737" i="1"/>
  <c r="V737" i="1"/>
  <c r="X737" i="1"/>
  <c r="W737" i="1"/>
  <c r="N737" i="1" s="1"/>
  <c r="G737" i="1" s="1"/>
  <c r="AN736" i="1"/>
  <c r="AL736" i="1"/>
  <c r="X736" i="1"/>
  <c r="V736" i="1"/>
  <c r="W736" i="1"/>
  <c r="N736" i="1" s="1"/>
  <c r="G736" i="1" s="1"/>
  <c r="Z733" i="1"/>
  <c r="U734" i="1"/>
  <c r="X735" i="1"/>
  <c r="X734" i="1"/>
  <c r="U733" i="1"/>
  <c r="X733" i="1"/>
  <c r="Z734" i="1"/>
  <c r="U735" i="1"/>
  <c r="Z735" i="1"/>
  <c r="Z732" i="1"/>
  <c r="X732" i="1"/>
  <c r="U732" i="1"/>
  <c r="AN732" i="1"/>
  <c r="AL732" i="1"/>
  <c r="AL734" i="1"/>
  <c r="AL733" i="1"/>
  <c r="AL735" i="1"/>
  <c r="AN734" i="1"/>
  <c r="AN733" i="1"/>
  <c r="AN735" i="1"/>
  <c r="Z731" i="1"/>
  <c r="Z730" i="1"/>
  <c r="U731" i="1"/>
  <c r="U730" i="1"/>
  <c r="Z729" i="1"/>
  <c r="U729" i="1"/>
  <c r="U728" i="1"/>
  <c r="Z728" i="1"/>
  <c r="AN731" i="1"/>
  <c r="X731" i="1"/>
  <c r="AL731" i="1"/>
  <c r="V731" i="1"/>
  <c r="W731" i="1"/>
  <c r="N731" i="1" s="1"/>
  <c r="G731" i="1" s="1"/>
  <c r="AL730" i="1"/>
  <c r="V730" i="1"/>
  <c r="AN730" i="1"/>
  <c r="X730" i="1"/>
  <c r="W730" i="1"/>
  <c r="N730" i="1" s="1"/>
  <c r="G730" i="1" s="1"/>
  <c r="AL729" i="1"/>
  <c r="AN729" i="1"/>
  <c r="V729" i="1"/>
  <c r="X729" i="1"/>
  <c r="W729" i="1"/>
  <c r="N729" i="1" s="1"/>
  <c r="G729" i="1" s="1"/>
  <c r="AL728" i="1"/>
  <c r="AN728" i="1"/>
  <c r="X728" i="1"/>
  <c r="V728" i="1"/>
  <c r="W728" i="1"/>
  <c r="N728" i="1" s="1"/>
  <c r="G728" i="1" s="1"/>
  <c r="U723" i="1"/>
  <c r="U724" i="1"/>
  <c r="Z724" i="1"/>
  <c r="X727" i="1"/>
  <c r="X726" i="1"/>
  <c r="X725" i="1"/>
  <c r="AN725" i="1"/>
  <c r="U726" i="1"/>
  <c r="Z726" i="1"/>
  <c r="X724" i="1"/>
  <c r="AL724" i="1"/>
  <c r="AN724" i="1"/>
  <c r="AN726" i="1"/>
  <c r="AN727" i="1"/>
  <c r="AL726" i="1"/>
  <c r="U725" i="1"/>
  <c r="U727" i="1"/>
  <c r="Z725" i="1"/>
  <c r="Z727" i="1"/>
  <c r="AL725" i="1"/>
  <c r="AL727" i="1"/>
  <c r="Z723" i="1"/>
  <c r="U722" i="1"/>
  <c r="Z722" i="1"/>
  <c r="Z721" i="1"/>
  <c r="U721" i="1"/>
  <c r="U720" i="1"/>
  <c r="Z720" i="1"/>
  <c r="W723" i="1"/>
  <c r="N723" i="1" s="1"/>
  <c r="G723" i="1" s="1"/>
  <c r="V723" i="1"/>
  <c r="X723" i="1"/>
  <c r="AL723" i="1"/>
  <c r="AL722" i="1"/>
  <c r="AN722" i="1"/>
  <c r="V722" i="1"/>
  <c r="X722" i="1"/>
  <c r="W722" i="1"/>
  <c r="N722" i="1" s="1"/>
  <c r="G722" i="1" s="1"/>
  <c r="AL721" i="1"/>
  <c r="AN721" i="1"/>
  <c r="X721" i="1"/>
  <c r="V721" i="1"/>
  <c r="W721" i="1"/>
  <c r="N721" i="1" s="1"/>
  <c r="G721" i="1" s="1"/>
  <c r="AL720" i="1"/>
  <c r="AN720" i="1"/>
  <c r="V720" i="1"/>
  <c r="X720" i="1"/>
  <c r="W720" i="1"/>
  <c r="N720" i="1" s="1"/>
  <c r="G720" i="1" s="1"/>
  <c r="X719" i="1"/>
  <c r="AN718" i="1"/>
  <c r="X718" i="1"/>
  <c r="U718" i="1"/>
  <c r="Z718" i="1"/>
  <c r="AL718" i="1"/>
  <c r="X717" i="1"/>
  <c r="U719" i="1"/>
  <c r="Z717" i="1"/>
  <c r="Z719" i="1"/>
  <c r="AL717" i="1"/>
  <c r="AL719" i="1"/>
  <c r="U717" i="1"/>
  <c r="AN717" i="1"/>
  <c r="AN719" i="1"/>
  <c r="Z716" i="1"/>
  <c r="U716" i="1"/>
  <c r="Z715" i="1"/>
  <c r="U715" i="1"/>
  <c r="U714" i="1"/>
  <c r="Z714" i="1"/>
  <c r="AL716" i="1"/>
  <c r="AN716" i="1"/>
  <c r="X716" i="1"/>
  <c r="V716" i="1"/>
  <c r="W716" i="1"/>
  <c r="N716" i="1" s="1"/>
  <c r="G716" i="1" s="1"/>
  <c r="AL715" i="1"/>
  <c r="AN715" i="1"/>
  <c r="X715" i="1"/>
  <c r="V715" i="1"/>
  <c r="W715" i="1"/>
  <c r="N715" i="1" s="1"/>
  <c r="G715" i="1" s="1"/>
  <c r="AL714" i="1"/>
  <c r="X714" i="1"/>
  <c r="AN714" i="1"/>
  <c r="V714" i="1"/>
  <c r="W714" i="1"/>
  <c r="N714" i="1" s="1"/>
  <c r="G714" i="1" s="1"/>
  <c r="X713" i="1"/>
  <c r="X712" i="1"/>
  <c r="X711" i="1"/>
  <c r="U710" i="1"/>
  <c r="Z712" i="1"/>
  <c r="Z713" i="1"/>
  <c r="Z710" i="1"/>
  <c r="Z711" i="1"/>
  <c r="U712" i="1"/>
  <c r="X710" i="1"/>
  <c r="AL710" i="1"/>
  <c r="AL712" i="1"/>
  <c r="AN710" i="1"/>
  <c r="AN712" i="1"/>
  <c r="U711" i="1"/>
  <c r="U713" i="1"/>
  <c r="AL711" i="1"/>
  <c r="AL713" i="1"/>
  <c r="AN711" i="1"/>
  <c r="AN713" i="1"/>
  <c r="Z708" i="1"/>
  <c r="U708" i="1"/>
  <c r="Z709" i="1"/>
  <c r="Z707" i="1"/>
  <c r="U709" i="1"/>
  <c r="U707" i="1"/>
  <c r="U706" i="1"/>
  <c r="Z706" i="1"/>
  <c r="AL709" i="1"/>
  <c r="X709" i="1"/>
  <c r="AN709" i="1"/>
  <c r="V709" i="1"/>
  <c r="W709" i="1"/>
  <c r="N709" i="1" s="1"/>
  <c r="G709" i="1" s="1"/>
  <c r="AL708" i="1"/>
  <c r="AN708" i="1"/>
  <c r="V708" i="1"/>
  <c r="X708" i="1"/>
  <c r="W708" i="1"/>
  <c r="N708" i="1" s="1"/>
  <c r="G708" i="1" s="1"/>
  <c r="AN707" i="1"/>
  <c r="X707" i="1"/>
  <c r="V707" i="1"/>
  <c r="AL707" i="1"/>
  <c r="W707" i="1"/>
  <c r="N707" i="1" s="1"/>
  <c r="G707" i="1" s="1"/>
  <c r="AL706" i="1"/>
  <c r="AN706" i="1"/>
  <c r="V706" i="1"/>
  <c r="X706" i="1"/>
  <c r="W706" i="1"/>
  <c r="N706" i="1" s="1"/>
  <c r="G706" i="1" s="1"/>
  <c r="U704" i="1"/>
  <c r="Z704" i="1"/>
  <c r="X705" i="1"/>
  <c r="U702" i="1"/>
  <c r="X704" i="1"/>
  <c r="Z702" i="1"/>
  <c r="Z703" i="1"/>
  <c r="X703" i="1"/>
  <c r="Z705" i="1"/>
  <c r="X702" i="1"/>
  <c r="AL704" i="1"/>
  <c r="AN702" i="1"/>
  <c r="AN704" i="1"/>
  <c r="AL702" i="1"/>
  <c r="U703" i="1"/>
  <c r="U705" i="1"/>
  <c r="AL703" i="1"/>
  <c r="AL705" i="1"/>
  <c r="AN703" i="1"/>
  <c r="AN705" i="1"/>
  <c r="Z701" i="1"/>
  <c r="Z700" i="1"/>
  <c r="U700" i="1"/>
  <c r="U701" i="1"/>
  <c r="Z699" i="1"/>
  <c r="U699" i="1"/>
  <c r="U698" i="1"/>
  <c r="Z698" i="1"/>
  <c r="W701" i="1"/>
  <c r="N701" i="1" s="1"/>
  <c r="G701" i="1" s="1"/>
  <c r="V701" i="1"/>
  <c r="X701" i="1"/>
  <c r="AL701" i="1"/>
  <c r="AN701" i="1"/>
  <c r="AN700" i="1"/>
  <c r="AL700" i="1"/>
  <c r="X700" i="1"/>
  <c r="V700" i="1"/>
  <c r="W700" i="1"/>
  <c r="N700" i="1" s="1"/>
  <c r="G700" i="1" s="1"/>
  <c r="AN699" i="1"/>
  <c r="X699" i="1"/>
  <c r="V699" i="1"/>
  <c r="AL699" i="1"/>
  <c r="W699" i="1"/>
  <c r="N699" i="1" s="1"/>
  <c r="G699" i="1" s="1"/>
  <c r="AL698" i="1"/>
  <c r="AN698" i="1"/>
  <c r="V698" i="1"/>
  <c r="X698" i="1"/>
  <c r="W698" i="1"/>
  <c r="N698" i="1" s="1"/>
  <c r="G698" i="1" s="1"/>
  <c r="U691" i="1"/>
  <c r="X691" i="1"/>
  <c r="Z691" i="1"/>
  <c r="AL691" i="1"/>
  <c r="AN691" i="1"/>
  <c r="Z688" i="1"/>
  <c r="U688" i="1"/>
  <c r="W688" i="1"/>
  <c r="N688" i="1" s="1"/>
  <c r="G688" i="1" s="1"/>
  <c r="V688" i="1"/>
  <c r="X688" i="1"/>
  <c r="AL688" i="1"/>
  <c r="AN688" i="1"/>
  <c r="AN687" i="1"/>
  <c r="U690" i="1"/>
  <c r="Z689" i="1"/>
  <c r="U689" i="1"/>
  <c r="X689" i="1"/>
  <c r="X690" i="1"/>
  <c r="AL689" i="1"/>
  <c r="AN689" i="1"/>
  <c r="AL690" i="1"/>
  <c r="AN690" i="1"/>
  <c r="Z690" i="1"/>
  <c r="Z687" i="1"/>
  <c r="U687" i="1"/>
  <c r="AL687" i="1"/>
  <c r="X687" i="1"/>
  <c r="V687" i="1"/>
  <c r="W687" i="1"/>
  <c r="N687" i="1" s="1"/>
  <c r="G687" i="1" s="1"/>
  <c r="X686" i="1"/>
  <c r="AL686" i="1"/>
  <c r="V686" i="1"/>
  <c r="AN686" i="1"/>
  <c r="W686" i="1"/>
  <c r="N686" i="1" s="1"/>
  <c r="G686" i="1" s="1"/>
  <c r="AL684" i="1"/>
  <c r="U686" i="1"/>
  <c r="Z686" i="1"/>
  <c r="U684" i="1"/>
  <c r="Z684" i="1"/>
  <c r="U685" i="1"/>
  <c r="Z685" i="1"/>
  <c r="AL685" i="1"/>
  <c r="AN684" i="1"/>
  <c r="AN685" i="1"/>
  <c r="X685" i="1"/>
  <c r="X684" i="1"/>
  <c r="X683" i="1"/>
  <c r="V683" i="1"/>
  <c r="W683" i="1"/>
  <c r="N683" i="1" s="1"/>
  <c r="G683" i="1" s="1"/>
  <c r="U683" i="1"/>
  <c r="Z683" i="1"/>
  <c r="AL682" i="1"/>
  <c r="AN683" i="1"/>
  <c r="X682" i="1"/>
  <c r="V682" i="1"/>
  <c r="W682" i="1"/>
  <c r="N682" i="1" s="1"/>
  <c r="G682" i="1" s="1"/>
  <c r="AL683" i="1"/>
  <c r="AN682" i="1"/>
  <c r="X681" i="1"/>
  <c r="X680" i="1"/>
  <c r="AL680" i="1"/>
  <c r="AN680" i="1"/>
  <c r="AL681" i="1"/>
  <c r="AN681" i="1"/>
  <c r="Z682" i="1"/>
  <c r="U682" i="1"/>
  <c r="U681" i="1"/>
  <c r="Z680" i="1"/>
  <c r="Z681" i="1"/>
  <c r="U680" i="1"/>
  <c r="Z679" i="1"/>
  <c r="U678" i="1"/>
  <c r="U679" i="1"/>
  <c r="Z678" i="1"/>
  <c r="V678" i="1"/>
  <c r="W678" i="1"/>
  <c r="N678" i="1" s="1"/>
  <c r="G678" i="1" s="1"/>
  <c r="AL679" i="1"/>
  <c r="X678" i="1"/>
  <c r="X679" i="1"/>
  <c r="AL678" i="1"/>
  <c r="V679" i="1"/>
  <c r="W679" i="1"/>
  <c r="N679" i="1" s="1"/>
  <c r="G679" i="1" s="1"/>
  <c r="AN679" i="1"/>
  <c r="AN678" i="1"/>
  <c r="X677" i="1"/>
  <c r="U676" i="1"/>
  <c r="Z676" i="1"/>
  <c r="U677" i="1"/>
  <c r="Z677" i="1"/>
  <c r="AL676" i="1"/>
  <c r="AL677" i="1"/>
  <c r="AN676" i="1"/>
  <c r="AN677" i="1"/>
  <c r="X676" i="1"/>
  <c r="Z675" i="1"/>
  <c r="U675" i="1"/>
  <c r="AL675" i="1"/>
  <c r="W675" i="1"/>
  <c r="N675" i="1" s="1"/>
  <c r="G675" i="1" s="1"/>
  <c r="V675" i="1"/>
  <c r="X675" i="1"/>
  <c r="AN675" i="1"/>
  <c r="V674" i="1"/>
  <c r="W674" i="1"/>
  <c r="N674" i="1" s="1"/>
  <c r="G674" i="1" s="1"/>
  <c r="X674" i="1"/>
  <c r="AN674" i="1"/>
  <c r="AL674" i="1"/>
  <c r="Z674" i="1"/>
  <c r="V589" i="1"/>
  <c r="X590" i="1"/>
  <c r="Z591" i="1"/>
  <c r="AL591" i="1"/>
  <c r="AL592" i="1"/>
  <c r="AN592" i="1"/>
  <c r="AN589" i="1"/>
  <c r="Z593" i="1"/>
  <c r="X589" i="1"/>
  <c r="AL593" i="1"/>
  <c r="W589" i="1"/>
  <c r="N589" i="1" s="1"/>
  <c r="G589" i="1" s="1"/>
  <c r="U590" i="1"/>
  <c r="U589" i="1"/>
  <c r="X591" i="1"/>
  <c r="Z589" i="1"/>
  <c r="AL590" i="1"/>
  <c r="U592" i="1"/>
  <c r="AN593" i="1"/>
  <c r="U591" i="1"/>
  <c r="X592" i="1"/>
  <c r="U593" i="1"/>
  <c r="AN591" i="1"/>
  <c r="Z590" i="1"/>
  <c r="AL589" i="1"/>
  <c r="AN590" i="1"/>
  <c r="Z592" i="1"/>
  <c r="X593" i="1"/>
  <c r="Z586" i="1"/>
  <c r="AN584" i="1"/>
  <c r="U585" i="1"/>
  <c r="U587" i="1"/>
  <c r="AN585" i="1"/>
  <c r="AN587" i="1"/>
  <c r="X585" i="1"/>
  <c r="X587" i="1"/>
  <c r="U584" i="1"/>
  <c r="U586" i="1"/>
  <c r="Z588" i="1"/>
  <c r="AL586" i="1"/>
  <c r="Z584" i="1"/>
  <c r="AN586" i="1"/>
  <c r="Z587" i="1"/>
  <c r="AL584" i="1"/>
  <c r="X586" i="1"/>
  <c r="AL587" i="1"/>
  <c r="U588" i="1"/>
  <c r="X584" i="1"/>
  <c r="AL588" i="1"/>
  <c r="V584" i="1"/>
  <c r="Z585" i="1"/>
  <c r="AN588" i="1"/>
  <c r="W584" i="1"/>
  <c r="AL585" i="1"/>
  <c r="X588" i="1"/>
  <c r="U575" i="1"/>
  <c r="AL576" i="1"/>
  <c r="U578" i="1"/>
  <c r="AN577" i="1"/>
  <c r="Z579" i="1"/>
  <c r="U580" i="1"/>
  <c r="AL581" i="1"/>
  <c r="AN581" i="1"/>
  <c r="X580" i="1"/>
  <c r="U574" i="1"/>
  <c r="X577" i="1"/>
  <c r="U581" i="1"/>
  <c r="AN575" i="1"/>
  <c r="AL579" i="1"/>
  <c r="AL582" i="1"/>
  <c r="U576" i="1"/>
  <c r="AN579" i="1"/>
  <c r="X582" i="1"/>
  <c r="AL575" i="1"/>
  <c r="Z576" i="1"/>
  <c r="X579" i="1"/>
  <c r="U583" i="1"/>
  <c r="W574" i="1"/>
  <c r="N574" i="1" s="1"/>
  <c r="G574" i="1" s="1"/>
  <c r="AN582" i="1"/>
  <c r="Z575" i="1"/>
  <c r="Z581" i="1"/>
  <c r="Z574" i="1"/>
  <c r="AN576" i="1"/>
  <c r="Z578" i="1"/>
  <c r="AL574" i="1"/>
  <c r="X576" i="1"/>
  <c r="AL578" i="1"/>
  <c r="Z583" i="1"/>
  <c r="AN574" i="1"/>
  <c r="X575" i="1"/>
  <c r="U577" i="1"/>
  <c r="AN578" i="1"/>
  <c r="Z580" i="1"/>
  <c r="X581" i="1"/>
  <c r="AL583" i="1"/>
  <c r="X574" i="1"/>
  <c r="V575" i="1"/>
  <c r="Z577" i="1"/>
  <c r="X578" i="1"/>
  <c r="AL580" i="1"/>
  <c r="U582" i="1"/>
  <c r="AN583" i="1"/>
  <c r="V574" i="1"/>
  <c r="W575" i="1"/>
  <c r="N575" i="1" s="1"/>
  <c r="G575" i="1" s="1"/>
  <c r="AL577" i="1"/>
  <c r="U579" i="1"/>
  <c r="AN580" i="1"/>
  <c r="Z582" i="1"/>
  <c r="X583" i="1"/>
  <c r="AN567" i="1"/>
  <c r="U570" i="1"/>
  <c r="AN565" i="1"/>
  <c r="AL571" i="1"/>
  <c r="AN571" i="1"/>
  <c r="U566" i="1"/>
  <c r="X570" i="1"/>
  <c r="Z566" i="1"/>
  <c r="U571" i="1"/>
  <c r="Z564" i="1"/>
  <c r="Z568" i="1"/>
  <c r="AL572" i="1"/>
  <c r="X566" i="1"/>
  <c r="U565" i="1"/>
  <c r="Z569" i="1"/>
  <c r="U573" i="1"/>
  <c r="AL565" i="1"/>
  <c r="X569" i="1"/>
  <c r="Z573" i="1"/>
  <c r="W564" i="1"/>
  <c r="N564" i="1" s="1"/>
  <c r="G564" i="1" s="1"/>
  <c r="X567" i="1"/>
  <c r="AL569" i="1"/>
  <c r="AN572" i="1"/>
  <c r="U564" i="1"/>
  <c r="Z565" i="1"/>
  <c r="AL566" i="1"/>
  <c r="U568" i="1"/>
  <c r="AN569" i="1"/>
  <c r="Z571" i="1"/>
  <c r="X572" i="1"/>
  <c r="AL568" i="1"/>
  <c r="AN564" i="1"/>
  <c r="X565" i="1"/>
  <c r="U567" i="1"/>
  <c r="AN568" i="1"/>
  <c r="Z570" i="1"/>
  <c r="X571" i="1"/>
  <c r="AL573" i="1"/>
  <c r="AN566" i="1"/>
  <c r="AL564" i="1"/>
  <c r="X564" i="1"/>
  <c r="V565" i="1"/>
  <c r="Z567" i="1"/>
  <c r="X568" i="1"/>
  <c r="AL570" i="1"/>
  <c r="U572" i="1"/>
  <c r="AN573" i="1"/>
  <c r="V564" i="1"/>
  <c r="W565" i="1"/>
  <c r="N565" i="1" s="1"/>
  <c r="G565" i="1" s="1"/>
  <c r="AL567" i="1"/>
  <c r="U569" i="1"/>
  <c r="AN570" i="1"/>
  <c r="Z572" i="1"/>
  <c r="X573" i="1"/>
  <c r="AN563" i="1"/>
  <c r="U556" i="1"/>
  <c r="X559" i="1"/>
  <c r="AL555" i="1"/>
  <c r="AN555" i="1"/>
  <c r="X560" i="1"/>
  <c r="AN561" i="1"/>
  <c r="AL561" i="1"/>
  <c r="Z556" i="1"/>
  <c r="Z557" i="1"/>
  <c r="AL562" i="1"/>
  <c r="AN557" i="1"/>
  <c r="U563" i="1"/>
  <c r="Z554" i="1"/>
  <c r="Z559" i="1"/>
  <c r="Z558" i="1"/>
  <c r="Z563" i="1"/>
  <c r="W554" i="1"/>
  <c r="N554" i="1" s="1"/>
  <c r="G554" i="1" s="1"/>
  <c r="U555" i="1"/>
  <c r="X557" i="1"/>
  <c r="AL559" i="1"/>
  <c r="U561" i="1"/>
  <c r="AN562" i="1"/>
  <c r="U554" i="1"/>
  <c r="Z555" i="1"/>
  <c r="AL556" i="1"/>
  <c r="U558" i="1"/>
  <c r="AN559" i="1"/>
  <c r="Z561" i="1"/>
  <c r="X562" i="1"/>
  <c r="AN556" i="1"/>
  <c r="AL554" i="1"/>
  <c r="X556" i="1"/>
  <c r="AL558" i="1"/>
  <c r="U560" i="1"/>
  <c r="AN554" i="1"/>
  <c r="X555" i="1"/>
  <c r="U557" i="1"/>
  <c r="AN558" i="1"/>
  <c r="Z560" i="1"/>
  <c r="X561" i="1"/>
  <c r="AL563" i="1"/>
  <c r="X554" i="1"/>
  <c r="V555" i="1"/>
  <c r="X558" i="1"/>
  <c r="AL560" i="1"/>
  <c r="U562" i="1"/>
  <c r="V554" i="1"/>
  <c r="W555" i="1"/>
  <c r="N555" i="1" s="1"/>
  <c r="G555" i="1" s="1"/>
  <c r="AL557" i="1"/>
  <c r="U559" i="1"/>
  <c r="AN560" i="1"/>
  <c r="Z562" i="1"/>
  <c r="X563" i="1"/>
  <c r="AN546" i="1"/>
  <c r="AL544" i="1"/>
  <c r="X547" i="1"/>
  <c r="AL552" i="1"/>
  <c r="AN544" i="1"/>
  <c r="AN550" i="1"/>
  <c r="X544" i="1"/>
  <c r="AN548" i="1"/>
  <c r="X545" i="1"/>
  <c r="W545" i="1"/>
  <c r="N545" i="1" s="1"/>
  <c r="G545" i="1" s="1"/>
  <c r="AN552" i="1"/>
  <c r="AN545" i="1"/>
  <c r="AN549" i="1"/>
  <c r="X551" i="1"/>
  <c r="AL547" i="1"/>
  <c r="X549" i="1"/>
  <c r="V545" i="1"/>
  <c r="AN547" i="1"/>
  <c r="U548" i="1"/>
  <c r="Z550" i="1"/>
  <c r="V544" i="1"/>
  <c r="U546" i="1"/>
  <c r="Z548" i="1"/>
  <c r="X552" i="1"/>
  <c r="W544" i="1"/>
  <c r="N544" i="1" s="1"/>
  <c r="G544" i="1" s="1"/>
  <c r="Z546" i="1"/>
  <c r="Z551" i="1"/>
  <c r="Z553" i="1"/>
  <c r="AL550" i="1"/>
  <c r="AL548" i="1"/>
  <c r="AL546" i="1"/>
  <c r="X550" i="1"/>
  <c r="U553" i="1"/>
  <c r="X548" i="1"/>
  <c r="U551" i="1"/>
  <c r="U545" i="1"/>
  <c r="U549" i="1"/>
  <c r="AL553" i="1"/>
  <c r="U544" i="1"/>
  <c r="Z545" i="1"/>
  <c r="U547" i="1"/>
  <c r="Z549" i="1"/>
  <c r="AL551" i="1"/>
  <c r="U552" i="1"/>
  <c r="AN553" i="1"/>
  <c r="X546" i="1"/>
  <c r="Z544" i="1"/>
  <c r="AL545" i="1"/>
  <c r="Z547" i="1"/>
  <c r="AL549" i="1"/>
  <c r="U550" i="1"/>
  <c r="AN551" i="1"/>
  <c r="Z552" i="1"/>
  <c r="X553" i="1"/>
  <c r="AN531" i="1"/>
  <c r="AL533" i="1"/>
  <c r="AN537" i="1"/>
  <c r="AN533" i="1"/>
  <c r="AL541" i="1"/>
  <c r="W530" i="1"/>
  <c r="N530" i="1" s="1"/>
  <c r="G530" i="1" s="1"/>
  <c r="AN536" i="1"/>
  <c r="Z529" i="1"/>
  <c r="Z538" i="1"/>
  <c r="X529" i="1"/>
  <c r="Z539" i="1"/>
  <c r="AL530" i="1"/>
  <c r="AN541" i="1"/>
  <c r="AN530" i="1"/>
  <c r="Z535" i="1"/>
  <c r="AL542" i="1"/>
  <c r="W531" i="1"/>
  <c r="N531" i="1" s="1"/>
  <c r="G531" i="1" s="1"/>
  <c r="V529" i="1"/>
  <c r="AL534" i="1"/>
  <c r="V530" i="1"/>
  <c r="Z536" i="1"/>
  <c r="Z543" i="1"/>
  <c r="X532" i="1"/>
  <c r="U536" i="1"/>
  <c r="X540" i="1"/>
  <c r="AL529" i="1"/>
  <c r="X531" i="1"/>
  <c r="U533" i="1"/>
  <c r="AN534" i="1"/>
  <c r="X537" i="1"/>
  <c r="AL539" i="1"/>
  <c r="U541" i="1"/>
  <c r="AN542" i="1"/>
  <c r="AN529" i="1"/>
  <c r="X530" i="1"/>
  <c r="V531" i="1"/>
  <c r="Z533" i="1"/>
  <c r="X534" i="1"/>
  <c r="AL536" i="1"/>
  <c r="U538" i="1"/>
  <c r="AN539" i="1"/>
  <c r="Z541" i="1"/>
  <c r="X542" i="1"/>
  <c r="U543" i="1"/>
  <c r="U532" i="1"/>
  <c r="AL538" i="1"/>
  <c r="W529" i="1"/>
  <c r="N529" i="1" s="1"/>
  <c r="G529" i="1" s="1"/>
  <c r="U531" i="1"/>
  <c r="Z532" i="1"/>
  <c r="X533" i="1"/>
  <c r="AL535" i="1"/>
  <c r="U537" i="1"/>
  <c r="AN538" i="1"/>
  <c r="Z540" i="1"/>
  <c r="X541" i="1"/>
  <c r="AL543" i="1"/>
  <c r="U535" i="1"/>
  <c r="U540" i="1"/>
  <c r="U530" i="1"/>
  <c r="Z531" i="1"/>
  <c r="AL532" i="1"/>
  <c r="U534" i="1"/>
  <c r="AN535" i="1"/>
  <c r="Z537" i="1"/>
  <c r="X538" i="1"/>
  <c r="AL540" i="1"/>
  <c r="U542" i="1"/>
  <c r="AN543" i="1"/>
  <c r="X539" i="1"/>
  <c r="X536" i="1"/>
  <c r="U529" i="1"/>
  <c r="Z530" i="1"/>
  <c r="AL531" i="1"/>
  <c r="AN532" i="1"/>
  <c r="Z534" i="1"/>
  <c r="X535" i="1"/>
  <c r="AL537" i="1"/>
  <c r="U539" i="1"/>
  <c r="AN540" i="1"/>
  <c r="Z542" i="1"/>
  <c r="X543" i="1"/>
  <c r="U526" i="1"/>
  <c r="AL527" i="1"/>
  <c r="AN527" i="1"/>
  <c r="AL528" i="1"/>
  <c r="X527" i="1"/>
  <c r="AL526" i="1"/>
  <c r="U528" i="1"/>
  <c r="Z526" i="1"/>
  <c r="AN526" i="1"/>
  <c r="Z528" i="1"/>
  <c r="X526" i="1"/>
  <c r="U527" i="1"/>
  <c r="AN528" i="1"/>
  <c r="Z527" i="1"/>
  <c r="X528" i="1"/>
  <c r="U523" i="1"/>
  <c r="AL524" i="1"/>
  <c r="AN524" i="1"/>
  <c r="X524" i="1"/>
  <c r="U525" i="1"/>
  <c r="Z525" i="1"/>
  <c r="AL523" i="1"/>
  <c r="AL525" i="1"/>
  <c r="U524" i="1"/>
  <c r="AN525" i="1"/>
  <c r="Z523" i="1"/>
  <c r="AN523" i="1"/>
  <c r="X523" i="1"/>
  <c r="Z524" i="1"/>
  <c r="X525" i="1"/>
  <c r="U520" i="1"/>
  <c r="AL521" i="1"/>
  <c r="AN521" i="1"/>
  <c r="Z520" i="1"/>
  <c r="X521" i="1"/>
  <c r="AL520" i="1"/>
  <c r="U522" i="1"/>
  <c r="AN520" i="1"/>
  <c r="Z522" i="1"/>
  <c r="AL522" i="1"/>
  <c r="U521" i="1"/>
  <c r="AN522" i="1"/>
  <c r="X520" i="1"/>
  <c r="Z521" i="1"/>
  <c r="X522" i="1"/>
  <c r="X519" i="1"/>
  <c r="X517" i="1"/>
  <c r="X518" i="1"/>
  <c r="AN517" i="1"/>
  <c r="AN518" i="1"/>
  <c r="AN519" i="1"/>
  <c r="U517" i="1"/>
  <c r="U518" i="1"/>
  <c r="U519" i="1"/>
  <c r="AL518" i="1"/>
  <c r="Z519" i="1"/>
  <c r="AL519" i="1"/>
  <c r="Z517" i="1"/>
  <c r="AL517" i="1"/>
  <c r="Z518" i="1"/>
  <c r="X516" i="1"/>
  <c r="W516" i="1"/>
  <c r="N516" i="1" s="1"/>
  <c r="G516" i="1" s="1"/>
  <c r="W515" i="1"/>
  <c r="N515" i="1" s="1"/>
  <c r="G515" i="1" s="1"/>
  <c r="V515" i="1"/>
  <c r="V516" i="1"/>
  <c r="X515" i="1"/>
  <c r="Z516" i="1"/>
  <c r="U516" i="1"/>
  <c r="Z515" i="1"/>
  <c r="U515" i="1"/>
  <c r="AL516" i="1"/>
  <c r="AL515" i="1"/>
  <c r="X514" i="1"/>
  <c r="V514" i="1"/>
  <c r="W514" i="1"/>
  <c r="N514" i="1" s="1"/>
  <c r="G514" i="1" s="1"/>
  <c r="AL514" i="1"/>
  <c r="Z514" i="1"/>
  <c r="AN439" i="1"/>
  <c r="Z435" i="1"/>
  <c r="U435" i="1"/>
  <c r="U438" i="1"/>
  <c r="U436" i="1"/>
  <c r="Z439" i="1"/>
  <c r="AN440" i="1"/>
  <c r="Z436" i="1"/>
  <c r="X440" i="1"/>
  <c r="W434" i="1"/>
  <c r="N434" i="1" s="1"/>
  <c r="G434" i="1" s="1"/>
  <c r="AN436" i="1"/>
  <c r="U441" i="1"/>
  <c r="AN437" i="1"/>
  <c r="Z441" i="1"/>
  <c r="U434" i="1"/>
  <c r="X437" i="1"/>
  <c r="AN442" i="1"/>
  <c r="AL436" i="1"/>
  <c r="X442" i="1"/>
  <c r="AL441" i="1"/>
  <c r="AL434" i="1"/>
  <c r="AN435" i="1"/>
  <c r="X436" i="1"/>
  <c r="AL438" i="1"/>
  <c r="U440" i="1"/>
  <c r="AN441" i="1"/>
  <c r="Z443" i="1"/>
  <c r="AL442" i="1"/>
  <c r="AL439" i="1"/>
  <c r="Z434" i="1"/>
  <c r="AL435" i="1"/>
  <c r="Z438" i="1"/>
  <c r="X439" i="1"/>
  <c r="U443" i="1"/>
  <c r="AN434" i="1"/>
  <c r="X435" i="1"/>
  <c r="U437" i="1"/>
  <c r="AN438" i="1"/>
  <c r="Z440" i="1"/>
  <c r="X441" i="1"/>
  <c r="AL443" i="1"/>
  <c r="X434" i="1"/>
  <c r="V435" i="1"/>
  <c r="Z437" i="1"/>
  <c r="X438" i="1"/>
  <c r="AL440" i="1"/>
  <c r="U442" i="1"/>
  <c r="AN443" i="1"/>
  <c r="V434" i="1"/>
  <c r="W435" i="1"/>
  <c r="N435" i="1" s="1"/>
  <c r="G435" i="1" s="1"/>
  <c r="AL437" i="1"/>
  <c r="U439" i="1"/>
  <c r="Z442" i="1"/>
  <c r="X443" i="1"/>
  <c r="AN426" i="1"/>
  <c r="X426" i="1"/>
  <c r="U425" i="1"/>
  <c r="X428" i="1"/>
  <c r="U430" i="1"/>
  <c r="X430" i="1"/>
  <c r="AN425" i="1"/>
  <c r="Z429" i="1"/>
  <c r="U426" i="1"/>
  <c r="X429" i="1"/>
  <c r="Z424" i="1"/>
  <c r="AN427" i="1"/>
  <c r="U431" i="1"/>
  <c r="X424" i="1"/>
  <c r="X427" i="1"/>
  <c r="U432" i="1"/>
  <c r="W424" i="1"/>
  <c r="Z428" i="1"/>
  <c r="U433" i="1"/>
  <c r="Z426" i="1"/>
  <c r="AL429" i="1"/>
  <c r="AN432" i="1"/>
  <c r="U424" i="1"/>
  <c r="Z425" i="1"/>
  <c r="AL426" i="1"/>
  <c r="U428" i="1"/>
  <c r="AN429" i="1"/>
  <c r="Z431" i="1"/>
  <c r="X432" i="1"/>
  <c r="AL431" i="1"/>
  <c r="AL424" i="1"/>
  <c r="AL428" i="1"/>
  <c r="AN431" i="1"/>
  <c r="Z433" i="1"/>
  <c r="AN424" i="1"/>
  <c r="X425" i="1"/>
  <c r="U427" i="1"/>
  <c r="AN428" i="1"/>
  <c r="Z430" i="1"/>
  <c r="X431" i="1"/>
  <c r="AL433" i="1"/>
  <c r="V425" i="1"/>
  <c r="Z427" i="1"/>
  <c r="AL430" i="1"/>
  <c r="AN433" i="1"/>
  <c r="AL432" i="1"/>
  <c r="AL425" i="1"/>
  <c r="V424" i="1"/>
  <c r="W425" i="1"/>
  <c r="N425" i="1" s="1"/>
  <c r="G425" i="1" s="1"/>
  <c r="AL427" i="1"/>
  <c r="U429" i="1"/>
  <c r="AN430" i="1"/>
  <c r="Z432" i="1"/>
  <c r="X433" i="1"/>
  <c r="W414" i="1"/>
  <c r="N414" i="1" s="1"/>
  <c r="G414" i="1" s="1"/>
  <c r="Z416" i="1"/>
  <c r="Z414" i="1"/>
  <c r="AN416" i="1"/>
  <c r="AN417" i="1"/>
  <c r="AN421" i="1"/>
  <c r="X419" i="1"/>
  <c r="U420" i="1"/>
  <c r="X416" i="1"/>
  <c r="Z420" i="1"/>
  <c r="U417" i="1"/>
  <c r="X420" i="1"/>
  <c r="U415" i="1"/>
  <c r="X417" i="1"/>
  <c r="U421" i="1"/>
  <c r="AN415" i="1"/>
  <c r="Z418" i="1"/>
  <c r="U423" i="1"/>
  <c r="U416" i="1"/>
  <c r="Z419" i="1"/>
  <c r="Z423" i="1"/>
  <c r="AL422" i="1"/>
  <c r="AL419" i="1"/>
  <c r="AN422" i="1"/>
  <c r="U414" i="1"/>
  <c r="Z415" i="1"/>
  <c r="AL416" i="1"/>
  <c r="U418" i="1"/>
  <c r="AN419" i="1"/>
  <c r="Z421" i="1"/>
  <c r="X422" i="1"/>
  <c r="AL415" i="1"/>
  <c r="AL414" i="1"/>
  <c r="AL418" i="1"/>
  <c r="X421" i="1"/>
  <c r="AL423" i="1"/>
  <c r="AN414" i="1"/>
  <c r="X415" i="1"/>
  <c r="AN418" i="1"/>
  <c r="X414" i="1"/>
  <c r="V415" i="1"/>
  <c r="Z417" i="1"/>
  <c r="X418" i="1"/>
  <c r="AL420" i="1"/>
  <c r="U422" i="1"/>
  <c r="AN423" i="1"/>
  <c r="AL421" i="1"/>
  <c r="V414" i="1"/>
  <c r="W415" i="1"/>
  <c r="AL417" i="1"/>
  <c r="U419" i="1"/>
  <c r="AN420" i="1"/>
  <c r="Z422" i="1"/>
  <c r="X423" i="1"/>
  <c r="AN405" i="1"/>
  <c r="U406" i="1"/>
  <c r="X406" i="1"/>
  <c r="Z409" i="1"/>
  <c r="AN406" i="1"/>
  <c r="X410" i="1"/>
  <c r="U411" i="1"/>
  <c r="X409" i="1"/>
  <c r="Z406" i="1"/>
  <c r="U410" i="1"/>
  <c r="Z404" i="1"/>
  <c r="AN407" i="1"/>
  <c r="AN411" i="1"/>
  <c r="W404" i="1"/>
  <c r="N404" i="1" s="1"/>
  <c r="G404" i="1" s="1"/>
  <c r="X407" i="1"/>
  <c r="U413" i="1"/>
  <c r="U405" i="1"/>
  <c r="Z408" i="1"/>
  <c r="Z413" i="1"/>
  <c r="AL409" i="1"/>
  <c r="AN412" i="1"/>
  <c r="U404" i="1"/>
  <c r="Z405" i="1"/>
  <c r="AL406" i="1"/>
  <c r="U408" i="1"/>
  <c r="AN409" i="1"/>
  <c r="Z411" i="1"/>
  <c r="X412" i="1"/>
  <c r="AL412" i="1"/>
  <c r="AN404" i="1"/>
  <c r="X405" i="1"/>
  <c r="U407" i="1"/>
  <c r="AN408" i="1"/>
  <c r="Z410" i="1"/>
  <c r="X411" i="1"/>
  <c r="AL413" i="1"/>
  <c r="AL405" i="1"/>
  <c r="AL411" i="1"/>
  <c r="AL404" i="1"/>
  <c r="AL408" i="1"/>
  <c r="X404" i="1"/>
  <c r="V405" i="1"/>
  <c r="Z407" i="1"/>
  <c r="X408" i="1"/>
  <c r="AL410" i="1"/>
  <c r="U412" i="1"/>
  <c r="AN413" i="1"/>
  <c r="V404" i="1"/>
  <c r="W405" i="1"/>
  <c r="N405" i="1" s="1"/>
  <c r="G405" i="1" s="1"/>
  <c r="AL407" i="1"/>
  <c r="U409" i="1"/>
  <c r="AN410" i="1"/>
  <c r="Z412" i="1"/>
  <c r="X413" i="1"/>
  <c r="Z394" i="1"/>
  <c r="W394" i="1"/>
  <c r="N394" i="1" s="1"/>
  <c r="G394" i="1" s="1"/>
  <c r="AN396" i="1"/>
  <c r="AN397" i="1"/>
  <c r="X399" i="1"/>
  <c r="AN401" i="1"/>
  <c r="X396" i="1"/>
  <c r="U400" i="1"/>
  <c r="U397" i="1"/>
  <c r="X400" i="1"/>
  <c r="U395" i="1"/>
  <c r="Z398" i="1"/>
  <c r="U402" i="1"/>
  <c r="X397" i="1"/>
  <c r="AN395" i="1"/>
  <c r="X398" i="1"/>
  <c r="U403" i="1"/>
  <c r="U401" i="1"/>
  <c r="U396" i="1"/>
  <c r="Z399" i="1"/>
  <c r="Z403" i="1"/>
  <c r="AL402" i="1"/>
  <c r="Z396" i="1"/>
  <c r="AL399" i="1"/>
  <c r="AN402" i="1"/>
  <c r="U394" i="1"/>
  <c r="Z395" i="1"/>
  <c r="AL396" i="1"/>
  <c r="U398" i="1"/>
  <c r="AN399" i="1"/>
  <c r="Z401" i="1"/>
  <c r="X402" i="1"/>
  <c r="AL395" i="1"/>
  <c r="AL401" i="1"/>
  <c r="AN394" i="1"/>
  <c r="X395" i="1"/>
  <c r="AN398" i="1"/>
  <c r="Z400" i="1"/>
  <c r="X401" i="1"/>
  <c r="AL403" i="1"/>
  <c r="AL394" i="1"/>
  <c r="X394" i="1"/>
  <c r="V395" i="1"/>
  <c r="Z397" i="1"/>
  <c r="AL400" i="1"/>
  <c r="AN403" i="1"/>
  <c r="AL398" i="1"/>
  <c r="V394" i="1"/>
  <c r="W395" i="1"/>
  <c r="N395" i="1" s="1"/>
  <c r="G395" i="1" s="1"/>
  <c r="AL397" i="1"/>
  <c r="U399" i="1"/>
  <c r="AN400" i="1"/>
  <c r="Z402" i="1"/>
  <c r="X403" i="1"/>
  <c r="AN386" i="1"/>
  <c r="AL388" i="1"/>
  <c r="X390" i="1"/>
  <c r="AL391" i="1"/>
  <c r="U392" i="1"/>
  <c r="X386" i="1"/>
  <c r="X387" i="1"/>
  <c r="AN391" i="1"/>
  <c r="Z388" i="1"/>
  <c r="X391" i="1"/>
  <c r="AL384" i="1"/>
  <c r="X388" i="1"/>
  <c r="U393" i="1"/>
  <c r="Z384" i="1"/>
  <c r="AL385" i="1"/>
  <c r="X389" i="1"/>
  <c r="Z393" i="1"/>
  <c r="AN385" i="1"/>
  <c r="U390" i="1"/>
  <c r="X393" i="1"/>
  <c r="W384" i="1"/>
  <c r="N384" i="1" s="1"/>
  <c r="G384" i="1" s="1"/>
  <c r="U386" i="1"/>
  <c r="AN387" i="1"/>
  <c r="Z389" i="1"/>
  <c r="AL392" i="1"/>
  <c r="U385" i="1"/>
  <c r="Z386" i="1"/>
  <c r="AL389" i="1"/>
  <c r="U391" i="1"/>
  <c r="AN392" i="1"/>
  <c r="U384" i="1"/>
  <c r="Z385" i="1"/>
  <c r="AL386" i="1"/>
  <c r="U388" i="1"/>
  <c r="AN389" i="1"/>
  <c r="Z391" i="1"/>
  <c r="X392" i="1"/>
  <c r="AN384" i="1"/>
  <c r="X385" i="1"/>
  <c r="U387" i="1"/>
  <c r="AN388" i="1"/>
  <c r="Z390" i="1"/>
  <c r="AL393" i="1"/>
  <c r="X384" i="1"/>
  <c r="V385" i="1"/>
  <c r="Z387" i="1"/>
  <c r="AL390" i="1"/>
  <c r="AN393" i="1"/>
  <c r="V384" i="1"/>
  <c r="W385" i="1"/>
  <c r="N385" i="1" s="1"/>
  <c r="G385" i="1" s="1"/>
  <c r="AL387" i="1"/>
  <c r="U389" i="1"/>
  <c r="AN390" i="1"/>
  <c r="Z392" i="1"/>
  <c r="AL382" i="1"/>
  <c r="X382" i="1"/>
  <c r="AN382" i="1"/>
  <c r="AL383" i="1"/>
  <c r="U382" i="1"/>
  <c r="AN383" i="1"/>
  <c r="U383" i="1"/>
  <c r="Z383" i="1"/>
  <c r="Z382" i="1"/>
  <c r="X383" i="1"/>
  <c r="AL380" i="1"/>
  <c r="AL381" i="1"/>
  <c r="AN380" i="1"/>
  <c r="X380" i="1"/>
  <c r="U381" i="1"/>
  <c r="Z381" i="1"/>
  <c r="U380" i="1"/>
  <c r="AN381" i="1"/>
  <c r="Z380" i="1"/>
  <c r="X381" i="1"/>
  <c r="AL378" i="1"/>
  <c r="X378" i="1"/>
  <c r="U379" i="1"/>
  <c r="Z379" i="1"/>
  <c r="U378" i="1"/>
  <c r="AN379" i="1"/>
  <c r="AN378" i="1"/>
  <c r="AL379" i="1"/>
  <c r="Z378" i="1"/>
  <c r="X379" i="1"/>
  <c r="Z377" i="1"/>
  <c r="U377" i="1"/>
  <c r="Z376" i="1"/>
  <c r="U376" i="1"/>
  <c r="AL377" i="1"/>
  <c r="AL376" i="1"/>
  <c r="X377" i="1"/>
  <c r="X376" i="1"/>
  <c r="AN376" i="1"/>
  <c r="AN377" i="1"/>
  <c r="AL375" i="1"/>
  <c r="Z375" i="1"/>
  <c r="U375" i="1"/>
  <c r="W375" i="1"/>
  <c r="N375" i="1" s="1"/>
  <c r="G375" i="1" s="1"/>
  <c r="V375" i="1"/>
  <c r="V374" i="1"/>
  <c r="W374" i="1"/>
  <c r="N374" i="1" s="1"/>
  <c r="G374" i="1" s="1"/>
  <c r="X375" i="1"/>
  <c r="X374" i="1"/>
  <c r="AN374" i="1"/>
  <c r="AN375" i="1"/>
  <c r="Y320" i="1"/>
  <c r="T320" i="1" s="1"/>
  <c r="Y319" i="1"/>
  <c r="T319" i="1" s="1"/>
  <c r="Y318" i="1"/>
  <c r="T318" i="1" s="1"/>
  <c r="Y321" i="1"/>
  <c r="T321" i="1" s="1"/>
  <c r="Y322" i="1"/>
  <c r="T322" i="1" s="1"/>
  <c r="Y323" i="1"/>
  <c r="T323" i="1" s="1"/>
  <c r="Y324" i="1"/>
  <c r="T324" i="1" s="1"/>
  <c r="Y325" i="1"/>
  <c r="T325" i="1" s="1"/>
  <c r="Y326" i="1"/>
  <c r="Y327" i="1"/>
  <c r="Y328" i="1"/>
  <c r="Y329" i="1"/>
  <c r="Y330" i="1"/>
  <c r="T330" i="1" s="1"/>
  <c r="Y332" i="1"/>
  <c r="T332" i="1" s="1"/>
  <c r="Y335" i="1"/>
  <c r="Y331" i="1"/>
  <c r="T331" i="1" s="1"/>
  <c r="Y333" i="1"/>
  <c r="T333" i="1" s="1"/>
  <c r="Y334" i="1"/>
  <c r="T334" i="1" s="1"/>
  <c r="Y336" i="1"/>
  <c r="Y337" i="1"/>
  <c r="Y341" i="1"/>
  <c r="T341" i="1" s="1"/>
  <c r="Y340" i="1"/>
  <c r="T340" i="1" s="1"/>
  <c r="Y339" i="1"/>
  <c r="T339" i="1" s="1"/>
  <c r="Y338" i="1"/>
  <c r="Y345" i="1"/>
  <c r="T345" i="1" s="1"/>
  <c r="Y344" i="1"/>
  <c r="T344" i="1" s="1"/>
  <c r="Y343" i="1"/>
  <c r="T343" i="1" s="1"/>
  <c r="AL374" i="1"/>
  <c r="Z374" i="1"/>
  <c r="X342" i="1"/>
  <c r="AN343" i="1"/>
  <c r="X343" i="1"/>
  <c r="X344" i="1"/>
  <c r="V343" i="1"/>
  <c r="AL342" i="1"/>
  <c r="Z345" i="1"/>
  <c r="AN342" i="1"/>
  <c r="AL345" i="1"/>
  <c r="W343" i="1"/>
  <c r="N343" i="1" s="1"/>
  <c r="G343" i="1" s="1"/>
  <c r="W342" i="1"/>
  <c r="N342" i="1" s="1"/>
  <c r="G342" i="1" s="1"/>
  <c r="U343" i="1"/>
  <c r="Z344" i="1"/>
  <c r="AN345" i="1"/>
  <c r="V342" i="1"/>
  <c r="U344" i="1"/>
  <c r="U342" i="1"/>
  <c r="Z343" i="1"/>
  <c r="AL344" i="1"/>
  <c r="X345" i="1"/>
  <c r="U345" i="1"/>
  <c r="Z342" i="1"/>
  <c r="AL343" i="1"/>
  <c r="AN344" i="1"/>
  <c r="AN338" i="1"/>
  <c r="X338" i="1"/>
  <c r="X339" i="1"/>
  <c r="AN339" i="1"/>
  <c r="X340" i="1"/>
  <c r="V339" i="1"/>
  <c r="AL338" i="1"/>
  <c r="AL341" i="1"/>
  <c r="V338" i="1"/>
  <c r="W339" i="1"/>
  <c r="N339" i="1" s="1"/>
  <c r="G339" i="1" s="1"/>
  <c r="Z341" i="1"/>
  <c r="Z340" i="1"/>
  <c r="AN341" i="1"/>
  <c r="U339" i="1"/>
  <c r="U338" i="1"/>
  <c r="Z339" i="1"/>
  <c r="AL340" i="1"/>
  <c r="X341" i="1"/>
  <c r="U341" i="1"/>
  <c r="W338" i="1"/>
  <c r="U340" i="1"/>
  <c r="Z338" i="1"/>
  <c r="AL339" i="1"/>
  <c r="AN340" i="1"/>
  <c r="AL334" i="1"/>
  <c r="U336" i="1"/>
  <c r="X336" i="1"/>
  <c r="AN335" i="1"/>
  <c r="Z337" i="1"/>
  <c r="AL337" i="1"/>
  <c r="AN334" i="1"/>
  <c r="X335" i="1"/>
  <c r="X334" i="1"/>
  <c r="V335" i="1"/>
  <c r="U337" i="1"/>
  <c r="W335" i="1"/>
  <c r="W334" i="1"/>
  <c r="N334" i="1" s="1"/>
  <c r="G334" i="1" s="1"/>
  <c r="U335" i="1"/>
  <c r="Z336" i="1"/>
  <c r="AN337" i="1"/>
  <c r="U334" i="1"/>
  <c r="Z335" i="1"/>
  <c r="AL336" i="1"/>
  <c r="X337" i="1"/>
  <c r="V334" i="1"/>
  <c r="Z334" i="1"/>
  <c r="AL335" i="1"/>
  <c r="AN336" i="1"/>
  <c r="AN330" i="1"/>
  <c r="X331" i="1"/>
  <c r="X330" i="1"/>
  <c r="AN331" i="1"/>
  <c r="X332" i="1"/>
  <c r="Z333" i="1"/>
  <c r="AL330" i="1"/>
  <c r="AL333" i="1"/>
  <c r="V330" i="1"/>
  <c r="W331" i="1"/>
  <c r="N331" i="1" s="1"/>
  <c r="G331" i="1" s="1"/>
  <c r="W330" i="1"/>
  <c r="N330" i="1" s="1"/>
  <c r="G330" i="1" s="1"/>
  <c r="U331" i="1"/>
  <c r="Z332" i="1"/>
  <c r="AN333" i="1"/>
  <c r="U330" i="1"/>
  <c r="Z331" i="1"/>
  <c r="AL332" i="1"/>
  <c r="X333" i="1"/>
  <c r="V331" i="1"/>
  <c r="U333" i="1"/>
  <c r="U332" i="1"/>
  <c r="Z330" i="1"/>
  <c r="AL331" i="1"/>
  <c r="AN332" i="1"/>
  <c r="AN326" i="1"/>
  <c r="X326" i="1"/>
  <c r="X327" i="1"/>
  <c r="AN327" i="1"/>
  <c r="X328" i="1"/>
  <c r="Z329" i="1"/>
  <c r="AL326" i="1"/>
  <c r="AL329" i="1"/>
  <c r="V327" i="1"/>
  <c r="U329" i="1"/>
  <c r="W326" i="1"/>
  <c r="N326" i="1" s="1"/>
  <c r="G326" i="1" s="1"/>
  <c r="U328" i="1"/>
  <c r="U327" i="1"/>
  <c r="Z328" i="1"/>
  <c r="AN329" i="1"/>
  <c r="U326" i="1"/>
  <c r="Z327" i="1"/>
  <c r="AL328" i="1"/>
  <c r="X329" i="1"/>
  <c r="V326" i="1"/>
  <c r="W327" i="1"/>
  <c r="N327" i="1" s="1"/>
  <c r="G327" i="1" s="1"/>
  <c r="Z326" i="1"/>
  <c r="AL327" i="1"/>
  <c r="AN328" i="1"/>
  <c r="AN322" i="1"/>
  <c r="U323" i="1"/>
  <c r="AN323" i="1"/>
  <c r="X323" i="1"/>
  <c r="AN324" i="1"/>
  <c r="X324" i="1"/>
  <c r="Z322" i="1"/>
  <c r="X322" i="1"/>
  <c r="V323" i="1"/>
  <c r="U325" i="1"/>
  <c r="AL322" i="1"/>
  <c r="V322" i="1"/>
  <c r="W323" i="1"/>
  <c r="N323" i="1" s="1"/>
  <c r="G323" i="1" s="1"/>
  <c r="Z325" i="1"/>
  <c r="W322" i="1"/>
  <c r="N322" i="1" s="1"/>
  <c r="G322" i="1" s="1"/>
  <c r="U324" i="1"/>
  <c r="AL325" i="1"/>
  <c r="Z324" i="1"/>
  <c r="AN325" i="1"/>
  <c r="U322" i="1"/>
  <c r="Z323" i="1"/>
  <c r="AL324" i="1"/>
  <c r="X325" i="1"/>
  <c r="AL323" i="1"/>
  <c r="X321" i="1"/>
  <c r="U320" i="1"/>
  <c r="Z320" i="1"/>
  <c r="AN320" i="1"/>
  <c r="Z321" i="1"/>
  <c r="AL321" i="1"/>
  <c r="AL320" i="1"/>
  <c r="U321" i="1"/>
  <c r="AN321" i="1"/>
  <c r="Z319" i="1"/>
  <c r="U319" i="1"/>
  <c r="AL319" i="1"/>
  <c r="W319" i="1"/>
  <c r="N319" i="1" s="1"/>
  <c r="G319" i="1" s="1"/>
  <c r="V319" i="1"/>
  <c r="X319" i="1"/>
  <c r="X320" i="1"/>
  <c r="V318" i="1"/>
  <c r="W318" i="1"/>
  <c r="N318" i="1" s="1"/>
  <c r="G318" i="1" s="1"/>
  <c r="X318" i="1"/>
  <c r="AL318" i="1"/>
  <c r="Z318" i="1"/>
  <c r="Z289" i="1"/>
  <c r="AL289" i="1"/>
  <c r="X288" i="1"/>
  <c r="AL291" i="1"/>
  <c r="Z292" i="1"/>
  <c r="AL292" i="1"/>
  <c r="AN291" i="1"/>
  <c r="V288" i="1"/>
  <c r="Z290" i="1"/>
  <c r="X291" i="1"/>
  <c r="U289" i="1"/>
  <c r="AN290" i="1"/>
  <c r="U288" i="1"/>
  <c r="AN288" i="1"/>
  <c r="X289" i="1"/>
  <c r="U290" i="1"/>
  <c r="W288" i="1"/>
  <c r="N288" i="1" s="1"/>
  <c r="G288" i="1" s="1"/>
  <c r="AL290" i="1"/>
  <c r="U292" i="1"/>
  <c r="X290" i="1"/>
  <c r="Z288" i="1"/>
  <c r="U291" i="1"/>
  <c r="AN292" i="1"/>
  <c r="AL288" i="1"/>
  <c r="AN289" i="1"/>
  <c r="Z291" i="1"/>
  <c r="X292" i="1"/>
  <c r="V283" i="1"/>
  <c r="U285" i="1"/>
  <c r="W283" i="1"/>
  <c r="N283" i="1" s="1"/>
  <c r="G283" i="1" s="1"/>
  <c r="X284" i="1"/>
  <c r="AN286" i="1"/>
  <c r="AN283" i="1"/>
  <c r="X286" i="1"/>
  <c r="AL286" i="1"/>
  <c r="X283" i="1"/>
  <c r="U287" i="1"/>
  <c r="AL285" i="1"/>
  <c r="AN285" i="1"/>
  <c r="Z284" i="1"/>
  <c r="Z283" i="1"/>
  <c r="AL284" i="1"/>
  <c r="U286" i="1"/>
  <c r="AN287" i="1"/>
  <c r="Z285" i="1"/>
  <c r="U284" i="1"/>
  <c r="Z287" i="1"/>
  <c r="U283" i="1"/>
  <c r="X285" i="1"/>
  <c r="AL287" i="1"/>
  <c r="AL283" i="1"/>
  <c r="AN284" i="1"/>
  <c r="Z286" i="1"/>
  <c r="X287" i="1"/>
  <c r="V278" i="1"/>
  <c r="U280" i="1"/>
  <c r="W278" i="1"/>
  <c r="N278" i="1" s="1"/>
  <c r="G278" i="1" s="1"/>
  <c r="X279" i="1"/>
  <c r="AN281" i="1"/>
  <c r="AL281" i="1"/>
  <c r="AN278" i="1"/>
  <c r="X281" i="1"/>
  <c r="X278" i="1"/>
  <c r="U282" i="1"/>
  <c r="Z280" i="1"/>
  <c r="AL280" i="1"/>
  <c r="AN280" i="1"/>
  <c r="U278" i="1"/>
  <c r="AL282" i="1"/>
  <c r="Z278" i="1"/>
  <c r="AL279" i="1"/>
  <c r="U281" i="1"/>
  <c r="AN282" i="1"/>
  <c r="U279" i="1"/>
  <c r="Z282" i="1"/>
  <c r="Z279" i="1"/>
  <c r="X280" i="1"/>
  <c r="AL278" i="1"/>
  <c r="AN279" i="1"/>
  <c r="Z281" i="1"/>
  <c r="X282" i="1"/>
  <c r="Z271" i="1"/>
  <c r="U274" i="1"/>
  <c r="X274" i="1"/>
  <c r="U275" i="1"/>
  <c r="Z272" i="1"/>
  <c r="AN275" i="1"/>
  <c r="U276" i="1"/>
  <c r="AN273" i="1"/>
  <c r="AN276" i="1"/>
  <c r="X273" i="1"/>
  <c r="U277" i="1"/>
  <c r="W273" i="1"/>
  <c r="N273" i="1" s="1"/>
  <c r="G273" i="1" s="1"/>
  <c r="Z277" i="1"/>
  <c r="V273" i="1"/>
  <c r="Z275" i="1"/>
  <c r="X276" i="1"/>
  <c r="U273" i="1"/>
  <c r="Z274" i="1"/>
  <c r="X275" i="1"/>
  <c r="AL277" i="1"/>
  <c r="AL276" i="1"/>
  <c r="Z273" i="1"/>
  <c r="AL274" i="1"/>
  <c r="AN277" i="1"/>
  <c r="AL275" i="1"/>
  <c r="AL273" i="1"/>
  <c r="AN274" i="1"/>
  <c r="Z276" i="1"/>
  <c r="X277" i="1"/>
  <c r="U272" i="1"/>
  <c r="U271" i="1"/>
  <c r="U270" i="1"/>
  <c r="Z270" i="1"/>
  <c r="Z269" i="1"/>
  <c r="U269" i="1"/>
  <c r="X272" i="1"/>
  <c r="X271" i="1"/>
  <c r="X270" i="1"/>
  <c r="AN272" i="1"/>
  <c r="AN271" i="1"/>
  <c r="X269" i="1"/>
  <c r="AN270" i="1"/>
  <c r="AN269" i="1"/>
  <c r="AL272" i="1"/>
  <c r="AL271" i="1"/>
  <c r="AL270" i="1"/>
  <c r="AL269" i="1"/>
  <c r="X268" i="1"/>
  <c r="V268" i="1"/>
  <c r="W268" i="1"/>
  <c r="N268" i="1" s="1"/>
  <c r="G268" i="1" s="1"/>
  <c r="AN268" i="1"/>
  <c r="AL268" i="1"/>
  <c r="Z268" i="1"/>
  <c r="V256" i="1"/>
  <c r="W256" i="1"/>
  <c r="N256" i="1" s="1"/>
  <c r="G256" i="1" s="1"/>
  <c r="Z256" i="1"/>
  <c r="Z257" i="1"/>
  <c r="AL257" i="1"/>
  <c r="AN257" i="1"/>
  <c r="AN256" i="1"/>
  <c r="X257" i="1"/>
  <c r="U257" i="1"/>
  <c r="U256" i="1"/>
  <c r="AL256" i="1"/>
  <c r="X256" i="1"/>
  <c r="V254" i="1"/>
  <c r="Z254" i="1"/>
  <c r="W254" i="1"/>
  <c r="N254" i="1" s="1"/>
  <c r="G254" i="1" s="1"/>
  <c r="Z255" i="1"/>
  <c r="U254" i="1"/>
  <c r="AL254" i="1"/>
  <c r="AN254" i="1"/>
  <c r="X255" i="1"/>
  <c r="U255" i="1"/>
  <c r="AL255" i="1"/>
  <c r="AN255" i="1"/>
  <c r="X254" i="1"/>
  <c r="Z252" i="1"/>
  <c r="Z253" i="1"/>
  <c r="V252" i="1"/>
  <c r="W252" i="1"/>
  <c r="N252" i="1" s="1"/>
  <c r="G252" i="1" s="1"/>
  <c r="AL252" i="1"/>
  <c r="AN253" i="1"/>
  <c r="AL253" i="1"/>
  <c r="AN252" i="1"/>
  <c r="X253" i="1"/>
  <c r="U253" i="1"/>
  <c r="U252" i="1"/>
  <c r="X252" i="1"/>
  <c r="V250" i="1"/>
  <c r="Z251" i="1"/>
  <c r="U250" i="1"/>
  <c r="AL251" i="1"/>
  <c r="W250" i="1"/>
  <c r="N250" i="1" s="1"/>
  <c r="G250" i="1" s="1"/>
  <c r="U251" i="1"/>
  <c r="Z250" i="1"/>
  <c r="AL250" i="1"/>
  <c r="AN251" i="1"/>
  <c r="AN250" i="1"/>
  <c r="X251" i="1"/>
  <c r="X250" i="1"/>
  <c r="AN249" i="1"/>
  <c r="AL249" i="1"/>
  <c r="Z249" i="1"/>
  <c r="U249" i="1"/>
  <c r="V248" i="1"/>
  <c r="W248" i="1"/>
  <c r="N248" i="1" s="1"/>
  <c r="G248" i="1" s="1"/>
  <c r="X248" i="1"/>
  <c r="AN248" i="1"/>
  <c r="AL248" i="1"/>
  <c r="Z248" i="1"/>
  <c r="Z224" i="1"/>
  <c r="AN224" i="1"/>
  <c r="X224" i="1"/>
  <c r="AN225" i="1"/>
  <c r="U226" i="1"/>
  <c r="AL224" i="1"/>
  <c r="V224" i="1"/>
  <c r="Z226" i="1"/>
  <c r="U225" i="1"/>
  <c r="AN226" i="1"/>
  <c r="AL225" i="1"/>
  <c r="X225" i="1"/>
  <c r="W224" i="1"/>
  <c r="N224" i="1" s="1"/>
  <c r="G224" i="1" s="1"/>
  <c r="AL226" i="1"/>
  <c r="U224" i="1"/>
  <c r="Z225" i="1"/>
  <c r="X226" i="1"/>
  <c r="AN221" i="1"/>
  <c r="X221" i="1"/>
  <c r="U223" i="1"/>
  <c r="Z221" i="1"/>
  <c r="AN222" i="1"/>
  <c r="Z223" i="1"/>
  <c r="W221" i="1"/>
  <c r="AL223" i="1"/>
  <c r="AL221" i="1"/>
  <c r="U222" i="1"/>
  <c r="AN223" i="1"/>
  <c r="AL222" i="1"/>
  <c r="X222" i="1"/>
  <c r="V221" i="1"/>
  <c r="U221" i="1"/>
  <c r="Z222" i="1"/>
  <c r="X223" i="1"/>
  <c r="Z218" i="1"/>
  <c r="AN219" i="1"/>
  <c r="X218" i="1"/>
  <c r="U220" i="1"/>
  <c r="Z220" i="1"/>
  <c r="AL219" i="1"/>
  <c r="AL218" i="1"/>
  <c r="AN218" i="1"/>
  <c r="X219" i="1"/>
  <c r="U219" i="1"/>
  <c r="AN220" i="1"/>
  <c r="V218" i="1"/>
  <c r="W218" i="1"/>
  <c r="N218" i="1" s="1"/>
  <c r="G218" i="1" s="1"/>
  <c r="AL220" i="1"/>
  <c r="U218" i="1"/>
  <c r="Z219" i="1"/>
  <c r="X220" i="1"/>
  <c r="AN215" i="1"/>
  <c r="Z215" i="1"/>
  <c r="X215" i="1"/>
  <c r="AN216" i="1"/>
  <c r="U217" i="1"/>
  <c r="Z217" i="1"/>
  <c r="U216" i="1"/>
  <c r="AN217" i="1"/>
  <c r="AL216" i="1"/>
  <c r="AL215" i="1"/>
  <c r="X216" i="1"/>
  <c r="V215" i="1"/>
  <c r="W215" i="1"/>
  <c r="N215" i="1" s="1"/>
  <c r="G215" i="1" s="1"/>
  <c r="AL217" i="1"/>
  <c r="U215" i="1"/>
  <c r="Z216" i="1"/>
  <c r="X217" i="1"/>
  <c r="AN212" i="1"/>
  <c r="Z212" i="1"/>
  <c r="AN213" i="1"/>
  <c r="X212" i="1"/>
  <c r="U214" i="1"/>
  <c r="Z214" i="1"/>
  <c r="AL213" i="1"/>
  <c r="AL212" i="1"/>
  <c r="U213" i="1"/>
  <c r="AN214" i="1"/>
  <c r="X213" i="1"/>
  <c r="V212" i="1"/>
  <c r="W212" i="1"/>
  <c r="N212" i="1" s="1"/>
  <c r="G212" i="1" s="1"/>
  <c r="AL214" i="1"/>
  <c r="U212" i="1"/>
  <c r="Z213" i="1"/>
  <c r="X214" i="1"/>
  <c r="U209" i="1"/>
  <c r="Z209" i="1"/>
  <c r="X209" i="1"/>
  <c r="U210" i="1"/>
  <c r="U211" i="1"/>
  <c r="X211" i="1"/>
  <c r="AL210" i="1"/>
  <c r="AL209" i="1"/>
  <c r="AN210" i="1"/>
  <c r="AN209" i="1"/>
  <c r="X210" i="1"/>
  <c r="V209" i="1"/>
  <c r="Z211" i="1"/>
  <c r="W209" i="1"/>
  <c r="N209" i="1" s="1"/>
  <c r="G209" i="1" s="1"/>
  <c r="AL211" i="1"/>
  <c r="AN211" i="1"/>
  <c r="Z210" i="1"/>
  <c r="U208" i="1"/>
  <c r="U207" i="1"/>
  <c r="Z208" i="1"/>
  <c r="Z207" i="1"/>
  <c r="AN207" i="1"/>
  <c r="AL208" i="1"/>
  <c r="AL207" i="1"/>
  <c r="AN208" i="1"/>
  <c r="X208" i="1"/>
  <c r="X207" i="1"/>
  <c r="V206" i="1"/>
  <c r="W206" i="1"/>
  <c r="X206" i="1"/>
  <c r="AL206" i="1"/>
  <c r="Z206" i="1"/>
  <c r="Z152" i="1"/>
  <c r="AM154" i="1"/>
  <c r="AN154" i="1"/>
  <c r="AN150" i="1"/>
  <c r="Z156" i="1"/>
  <c r="AO150" i="1"/>
  <c r="AO154" i="1"/>
  <c r="AL152" i="1"/>
  <c r="AL156" i="1"/>
  <c r="AO152" i="1"/>
  <c r="AO156" i="1"/>
  <c r="AL151" i="1"/>
  <c r="AL155" i="1"/>
  <c r="AL153" i="1"/>
  <c r="AL157" i="1"/>
  <c r="U150" i="1"/>
  <c r="W151" i="1"/>
  <c r="U154" i="1"/>
  <c r="W155" i="1"/>
  <c r="Z150" i="1"/>
  <c r="U151" i="1"/>
  <c r="AO151" i="1"/>
  <c r="U153" i="1"/>
  <c r="Z154" i="1"/>
  <c r="U155" i="1"/>
  <c r="AO155" i="1"/>
  <c r="U157" i="1"/>
  <c r="AL150" i="1"/>
  <c r="Z151" i="1"/>
  <c r="U152" i="1"/>
  <c r="Z153" i="1"/>
  <c r="AL154" i="1"/>
  <c r="Z155" i="1"/>
  <c r="U156" i="1"/>
  <c r="Z157" i="1"/>
  <c r="AM153" i="1"/>
  <c r="AM157" i="1"/>
  <c r="X150" i="1"/>
  <c r="AN151" i="1"/>
  <c r="AM152" i="1"/>
  <c r="AN153" i="1"/>
  <c r="X154" i="1"/>
  <c r="AN155" i="1"/>
  <c r="AM156" i="1"/>
  <c r="AN157" i="1"/>
  <c r="AM150" i="1"/>
  <c r="AM151" i="1"/>
  <c r="V150" i="1"/>
  <c r="X151" i="1"/>
  <c r="AN152" i="1"/>
  <c r="X153" i="1"/>
  <c r="V154" i="1"/>
  <c r="X155" i="1"/>
  <c r="AN156" i="1"/>
  <c r="X157" i="1"/>
  <c r="AM155" i="1"/>
  <c r="W150" i="1"/>
  <c r="N150" i="1" s="1"/>
  <c r="G150" i="1" s="1"/>
  <c r="V151" i="1"/>
  <c r="X152" i="1"/>
  <c r="AO153" i="1"/>
  <c r="W154" i="1"/>
  <c r="V155" i="1"/>
  <c r="X156" i="1"/>
  <c r="AO157" i="1"/>
  <c r="Z144" i="1"/>
  <c r="AL144" i="1"/>
  <c r="AL145" i="1"/>
  <c r="AL147" i="1"/>
  <c r="AO144" i="1"/>
  <c r="AO146" i="1"/>
  <c r="Z148" i="1"/>
  <c r="AL148" i="1"/>
  <c r="X144" i="1"/>
  <c r="AO147" i="1"/>
  <c r="AO142" i="1"/>
  <c r="AO145" i="1"/>
  <c r="AO148" i="1"/>
  <c r="AL143" i="1"/>
  <c r="AM146" i="1"/>
  <c r="AL149" i="1"/>
  <c r="AN142" i="1"/>
  <c r="AO143" i="1"/>
  <c r="AN146" i="1"/>
  <c r="AO149" i="1"/>
  <c r="U142" i="1"/>
  <c r="W143" i="1"/>
  <c r="N143" i="1" s="1"/>
  <c r="G143" i="1" s="1"/>
  <c r="U146" i="1"/>
  <c r="W147" i="1"/>
  <c r="N147" i="1" s="1"/>
  <c r="G147" i="1" s="1"/>
  <c r="Z142" i="1"/>
  <c r="U143" i="1"/>
  <c r="U145" i="1"/>
  <c r="Z146" i="1"/>
  <c r="U147" i="1"/>
  <c r="U149" i="1"/>
  <c r="AL142" i="1"/>
  <c r="Z143" i="1"/>
  <c r="U144" i="1"/>
  <c r="Z145" i="1"/>
  <c r="AL146" i="1"/>
  <c r="Z147" i="1"/>
  <c r="U148" i="1"/>
  <c r="Z149" i="1"/>
  <c r="AM142" i="1"/>
  <c r="AM143" i="1"/>
  <c r="AM145" i="1"/>
  <c r="AM147" i="1"/>
  <c r="AM149" i="1"/>
  <c r="X142" i="1"/>
  <c r="AN143" i="1"/>
  <c r="AM144" i="1"/>
  <c r="AN145" i="1"/>
  <c r="X146" i="1"/>
  <c r="AN147" i="1"/>
  <c r="AM148" i="1"/>
  <c r="AN149" i="1"/>
  <c r="V142" i="1"/>
  <c r="X143" i="1"/>
  <c r="AN144" i="1"/>
  <c r="X145" i="1"/>
  <c r="V146" i="1"/>
  <c r="X147" i="1"/>
  <c r="AN148" i="1"/>
  <c r="X149" i="1"/>
  <c r="W142" i="1"/>
  <c r="N142" i="1" s="1"/>
  <c r="G142" i="1" s="1"/>
  <c r="V143" i="1"/>
  <c r="W146" i="1"/>
  <c r="N146" i="1" s="1"/>
  <c r="G146" i="1" s="1"/>
  <c r="V147" i="1"/>
  <c r="X148" i="1"/>
  <c r="W135" i="1"/>
  <c r="N135" i="1" s="1"/>
  <c r="G135" i="1" s="1"/>
  <c r="Z136" i="1"/>
  <c r="AL137" i="1"/>
  <c r="AL139" i="1"/>
  <c r="V138" i="1"/>
  <c r="Z140" i="1"/>
  <c r="AL140" i="1"/>
  <c r="AL136" i="1"/>
  <c r="W139" i="1"/>
  <c r="N139" i="1" s="1"/>
  <c r="G139" i="1" s="1"/>
  <c r="V134" i="1"/>
  <c r="X137" i="1"/>
  <c r="AN140" i="1"/>
  <c r="AN136" i="1"/>
  <c r="AN134" i="1"/>
  <c r="AO134" i="1"/>
  <c r="AM138" i="1"/>
  <c r="AL141" i="1"/>
  <c r="AL135" i="1"/>
  <c r="AN138" i="1"/>
  <c r="X141" i="1"/>
  <c r="U134" i="1"/>
  <c r="AO136" i="1"/>
  <c r="U138" i="1"/>
  <c r="AO138" i="1"/>
  <c r="AO140" i="1"/>
  <c r="Z134" i="1"/>
  <c r="U135" i="1"/>
  <c r="AO135" i="1"/>
  <c r="U137" i="1"/>
  <c r="Z138" i="1"/>
  <c r="U139" i="1"/>
  <c r="AO139" i="1"/>
  <c r="U141" i="1"/>
  <c r="AL134" i="1"/>
  <c r="Z135" i="1"/>
  <c r="U136" i="1"/>
  <c r="Z137" i="1"/>
  <c r="AL138" i="1"/>
  <c r="Z139" i="1"/>
  <c r="U140" i="1"/>
  <c r="Z141" i="1"/>
  <c r="AM135" i="1"/>
  <c r="AM137" i="1"/>
  <c r="AM139" i="1"/>
  <c r="AM141" i="1"/>
  <c r="X134" i="1"/>
  <c r="AN135" i="1"/>
  <c r="AM136" i="1"/>
  <c r="AN137" i="1"/>
  <c r="X138" i="1"/>
  <c r="AN139" i="1"/>
  <c r="AM140" i="1"/>
  <c r="AN141" i="1"/>
  <c r="AM134" i="1"/>
  <c r="X135" i="1"/>
  <c r="X139" i="1"/>
  <c r="W134" i="1"/>
  <c r="N134" i="1" s="1"/>
  <c r="G134" i="1" s="1"/>
  <c r="V135" i="1"/>
  <c r="X136" i="1"/>
  <c r="AO137" i="1"/>
  <c r="W138" i="1"/>
  <c r="N138" i="1" s="1"/>
  <c r="G138" i="1" s="1"/>
  <c r="V139" i="1"/>
  <c r="X140" i="1"/>
  <c r="AO141" i="1"/>
  <c r="AN127" i="1"/>
  <c r="AN131" i="1"/>
  <c r="X127" i="1"/>
  <c r="X126" i="1"/>
  <c r="AL131" i="1"/>
  <c r="AM130" i="1"/>
  <c r="V126" i="1"/>
  <c r="AN130" i="1"/>
  <c r="AL127" i="1"/>
  <c r="X130" i="1"/>
  <c r="Z128" i="1"/>
  <c r="Z132" i="1"/>
  <c r="AL128" i="1"/>
  <c r="AL132" i="1"/>
  <c r="AN126" i="1"/>
  <c r="AL129" i="1"/>
  <c r="AL133" i="1"/>
  <c r="AM126" i="1"/>
  <c r="AM129" i="1"/>
  <c r="AM131" i="1"/>
  <c r="U126" i="1"/>
  <c r="AO126" i="1"/>
  <c r="W127" i="1"/>
  <c r="N127" i="1" s="1"/>
  <c r="G127" i="1" s="1"/>
  <c r="AO128" i="1"/>
  <c r="U130" i="1"/>
  <c r="AO130" i="1"/>
  <c r="W131" i="1"/>
  <c r="N131" i="1" s="1"/>
  <c r="G131" i="1" s="1"/>
  <c r="AO132" i="1"/>
  <c r="Z126" i="1"/>
  <c r="U127" i="1"/>
  <c r="AO127" i="1"/>
  <c r="U129" i="1"/>
  <c r="Z130" i="1"/>
  <c r="U131" i="1"/>
  <c r="AO131" i="1"/>
  <c r="U133" i="1"/>
  <c r="AL126" i="1"/>
  <c r="Z127" i="1"/>
  <c r="U128" i="1"/>
  <c r="Z129" i="1"/>
  <c r="AL130" i="1"/>
  <c r="Z131" i="1"/>
  <c r="U132" i="1"/>
  <c r="Z133" i="1"/>
  <c r="AM128" i="1"/>
  <c r="AN129" i="1"/>
  <c r="AM132" i="1"/>
  <c r="AN133" i="1"/>
  <c r="AN128" i="1"/>
  <c r="X129" i="1"/>
  <c r="V130" i="1"/>
  <c r="X131" i="1"/>
  <c r="AN132" i="1"/>
  <c r="X133" i="1"/>
  <c r="AM127" i="1"/>
  <c r="AM133" i="1"/>
  <c r="W126" i="1"/>
  <c r="N126" i="1" s="1"/>
  <c r="G126" i="1" s="1"/>
  <c r="V127" i="1"/>
  <c r="X128" i="1"/>
  <c r="AO129" i="1"/>
  <c r="W130" i="1"/>
  <c r="N130" i="1" s="1"/>
  <c r="G130" i="1" s="1"/>
  <c r="V131" i="1"/>
  <c r="X132" i="1"/>
  <c r="AO133" i="1"/>
  <c r="AM125" i="1"/>
  <c r="AM124" i="1"/>
  <c r="AM123" i="1"/>
  <c r="U122" i="1"/>
  <c r="W123" i="1"/>
  <c r="N123" i="1" s="1"/>
  <c r="G123" i="1" s="1"/>
  <c r="Z122" i="1"/>
  <c r="U123" i="1"/>
  <c r="Z123" i="1"/>
  <c r="AN123" i="1"/>
  <c r="U124" i="1"/>
  <c r="Z124" i="1"/>
  <c r="AO123" i="1"/>
  <c r="U125" i="1"/>
  <c r="AL123" i="1"/>
  <c r="Z125" i="1"/>
  <c r="AN124" i="1"/>
  <c r="AL122" i="1"/>
  <c r="V122" i="1"/>
  <c r="AL124" i="1"/>
  <c r="AN122" i="1"/>
  <c r="AO122" i="1"/>
  <c r="AL125" i="1"/>
  <c r="W122" i="1"/>
  <c r="N122" i="1" s="1"/>
  <c r="G122" i="1" s="1"/>
  <c r="X124" i="1"/>
  <c r="AO124" i="1"/>
  <c r="X122" i="1"/>
  <c r="X123" i="1"/>
  <c r="X125" i="1"/>
  <c r="AN125" i="1"/>
  <c r="V123" i="1"/>
  <c r="AO125" i="1"/>
  <c r="AO121" i="1"/>
  <c r="AM121" i="1"/>
  <c r="X121" i="1"/>
  <c r="AN121" i="1"/>
  <c r="AL121" i="1"/>
  <c r="Z121" i="1"/>
  <c r="U121" i="1"/>
  <c r="AO120" i="1"/>
  <c r="X120" i="1"/>
  <c r="AN120" i="1"/>
  <c r="AM120" i="1"/>
  <c r="AL120" i="1"/>
  <c r="Z120" i="1"/>
  <c r="U120" i="1"/>
  <c r="Z119" i="1"/>
  <c r="U119" i="1"/>
  <c r="AL119" i="1"/>
  <c r="AM119" i="1"/>
  <c r="W119" i="1"/>
  <c r="N119" i="1" s="1"/>
  <c r="G119" i="1" s="1"/>
  <c r="AO119" i="1"/>
  <c r="X119" i="1"/>
  <c r="V119" i="1"/>
  <c r="W118" i="1"/>
  <c r="N118" i="1" s="1"/>
  <c r="G118" i="1" s="1"/>
  <c r="V118" i="1"/>
  <c r="X118" i="1"/>
  <c r="X78" i="1"/>
  <c r="AL78" i="1"/>
  <c r="AN78" i="1"/>
  <c r="AO78" i="1"/>
  <c r="X79" i="1"/>
  <c r="AO79" i="1"/>
  <c r="U79" i="1"/>
  <c r="Z79" i="1"/>
  <c r="U78" i="1"/>
  <c r="AM79" i="1"/>
  <c r="AM78" i="1"/>
  <c r="AL79" i="1"/>
  <c r="Z78" i="1"/>
  <c r="AN79" i="1"/>
  <c r="V77" i="1"/>
  <c r="X77" i="1"/>
  <c r="W77" i="1"/>
  <c r="N77" i="1" s="1"/>
  <c r="G77" i="1" s="1"/>
  <c r="AN77" i="1"/>
  <c r="AM77" i="1"/>
  <c r="U77" i="1"/>
  <c r="Z77" i="1"/>
  <c r="AL77" i="1"/>
  <c r="AO74" i="1"/>
  <c r="AO75" i="1"/>
  <c r="AO70" i="1"/>
  <c r="AO71" i="1"/>
  <c r="AO66" i="1"/>
  <c r="AO67" i="1"/>
  <c r="AO63" i="1"/>
  <c r="AO62" i="1"/>
  <c r="AO27" i="1"/>
  <c r="AO28" i="1"/>
  <c r="AO29" i="1"/>
  <c r="AO21" i="1"/>
  <c r="AO22" i="1"/>
  <c r="AO23" i="1"/>
  <c r="AO16" i="1"/>
  <c r="AO15" i="1"/>
  <c r="AO17" i="1"/>
  <c r="AO11" i="1"/>
  <c r="AO9" i="1"/>
  <c r="AO10" i="1"/>
  <c r="AO5" i="1"/>
  <c r="V76" i="1"/>
  <c r="W76" i="1"/>
  <c r="N76" i="1" s="1"/>
  <c r="G76" i="1" s="1"/>
  <c r="V69" i="1"/>
  <c r="V72" i="1"/>
  <c r="W68" i="1"/>
  <c r="N68" i="1" s="1"/>
  <c r="G68" i="1" s="1"/>
  <c r="V73" i="1"/>
  <c r="W72" i="1"/>
  <c r="N72" i="1" s="1"/>
  <c r="G72" i="1" s="1"/>
  <c r="W73" i="1"/>
  <c r="N73" i="1" s="1"/>
  <c r="G73" i="1" s="1"/>
  <c r="V68" i="1"/>
  <c r="W69" i="1"/>
  <c r="N69" i="1" s="1"/>
  <c r="G69" i="1" s="1"/>
  <c r="W65" i="1"/>
  <c r="N65" i="1" s="1"/>
  <c r="G65" i="1" s="1"/>
  <c r="V65" i="1"/>
  <c r="V64" i="1"/>
  <c r="W64" i="1"/>
  <c r="N64" i="1" s="1"/>
  <c r="G64" i="1" s="1"/>
  <c r="W61" i="1"/>
  <c r="N61" i="1" s="1"/>
  <c r="G61" i="1" s="1"/>
  <c r="V61" i="1"/>
  <c r="V60" i="1"/>
  <c r="W60" i="1"/>
  <c r="N60" i="1" s="1"/>
  <c r="G60" i="1" s="1"/>
  <c r="V25" i="1"/>
  <c r="V58" i="1"/>
  <c r="W58" i="1"/>
  <c r="N58" i="1" s="1"/>
  <c r="G58" i="1" s="1"/>
  <c r="V24" i="1"/>
  <c r="W24" i="1"/>
  <c r="N24" i="1" s="1"/>
  <c r="G24" i="1" s="1"/>
  <c r="W25" i="1"/>
  <c r="N25" i="1" s="1"/>
  <c r="G25" i="1" s="1"/>
  <c r="V26" i="1"/>
  <c r="W26" i="1"/>
  <c r="N26" i="1" s="1"/>
  <c r="G26" i="1" s="1"/>
  <c r="W13" i="1"/>
  <c r="N13" i="1" s="1"/>
  <c r="G13" i="1" s="1"/>
  <c r="V18" i="1"/>
  <c r="W18" i="1"/>
  <c r="N18" i="1" s="1"/>
  <c r="G18" i="1" s="1"/>
  <c r="W19" i="1"/>
  <c r="N19" i="1" s="1"/>
  <c r="G19" i="1" s="1"/>
  <c r="V20" i="1"/>
  <c r="V19" i="1"/>
  <c r="W20" i="1"/>
  <c r="N20" i="1" s="1"/>
  <c r="G20" i="1" s="1"/>
  <c r="W12" i="1"/>
  <c r="N12" i="1" s="1"/>
  <c r="G12" i="1" s="1"/>
  <c r="V12" i="1"/>
  <c r="V13" i="1"/>
  <c r="V14" i="1"/>
  <c r="W14" i="1"/>
  <c r="N14" i="1" s="1"/>
  <c r="G14" i="1" s="1"/>
  <c r="W6" i="1"/>
  <c r="N6" i="1" s="1"/>
  <c r="G6" i="1" s="1"/>
  <c r="W8" i="1"/>
  <c r="N8" i="1" s="1"/>
  <c r="G8" i="1" s="1"/>
  <c r="V8" i="1"/>
  <c r="V6" i="1"/>
  <c r="V7" i="1"/>
  <c r="W7" i="1"/>
  <c r="N7" i="1" s="1"/>
  <c r="G7" i="1" s="1"/>
  <c r="V3" i="1"/>
  <c r="W3" i="1"/>
  <c r="N3" i="1" s="1"/>
  <c r="G3" i="1" s="1"/>
  <c r="W2" i="1"/>
  <c r="N2" i="1" s="1"/>
  <c r="G2" i="1" s="1"/>
  <c r="X64" i="1"/>
  <c r="X76" i="1"/>
  <c r="O76" i="1" s="1"/>
  <c r="X67" i="1"/>
  <c r="X72" i="1"/>
  <c r="X74" i="1"/>
  <c r="X73" i="1"/>
  <c r="X75" i="1"/>
  <c r="X65" i="1"/>
  <c r="X66" i="1"/>
  <c r="X69" i="1"/>
  <c r="X68" i="1"/>
  <c r="X70" i="1"/>
  <c r="X71" i="1"/>
  <c r="X63" i="1"/>
  <c r="X60" i="1"/>
  <c r="X27" i="1"/>
  <c r="X61" i="1"/>
  <c r="X59" i="1"/>
  <c r="X62" i="1"/>
  <c r="X58" i="1"/>
  <c r="X24" i="1"/>
  <c r="X25" i="1"/>
  <c r="X26" i="1"/>
  <c r="X28" i="1"/>
  <c r="X18" i="1"/>
  <c r="O18" i="1" s="1"/>
  <c r="X29" i="1"/>
  <c r="X19" i="1"/>
  <c r="X20" i="1"/>
  <c r="X22" i="1"/>
  <c r="X21" i="1"/>
  <c r="X23" i="1"/>
  <c r="X12" i="1"/>
  <c r="X14" i="1"/>
  <c r="X13" i="1"/>
  <c r="X15" i="1"/>
  <c r="X16" i="1"/>
  <c r="X17" i="1"/>
  <c r="X11" i="1"/>
  <c r="O11" i="1" s="1"/>
  <c r="F11" i="1" s="1"/>
  <c r="X10" i="1"/>
  <c r="O10" i="1" s="1"/>
  <c r="F10" i="1" s="1"/>
  <c r="X7" i="1"/>
  <c r="O7" i="1" s="1"/>
  <c r="F7" i="1" s="1"/>
  <c r="X6" i="1"/>
  <c r="O6" i="1" s="1"/>
  <c r="F6" i="1" s="1"/>
  <c r="X8" i="1"/>
  <c r="O8" i="1" s="1"/>
  <c r="F8" i="1" s="1"/>
  <c r="X9" i="1"/>
  <c r="O9" i="1" s="1"/>
  <c r="F9" i="1" s="1"/>
  <c r="X5" i="1"/>
  <c r="O5" i="1" s="1"/>
  <c r="F5" i="1" s="1"/>
  <c r="X3" i="1"/>
  <c r="O3" i="1" s="1"/>
  <c r="F3" i="1" s="1"/>
  <c r="AN76" i="1"/>
  <c r="AN74" i="1"/>
  <c r="AN75" i="1"/>
  <c r="AN72" i="1"/>
  <c r="AN70" i="1"/>
  <c r="AN71" i="1"/>
  <c r="AN68" i="1"/>
  <c r="AN69" i="1"/>
  <c r="AN66" i="1"/>
  <c r="AN67" i="1"/>
  <c r="AN64" i="1"/>
  <c r="AN65" i="1"/>
  <c r="AN63" i="1"/>
  <c r="AN62" i="1"/>
  <c r="AN61" i="1"/>
  <c r="AN60" i="1"/>
  <c r="AN27" i="1"/>
  <c r="AN59" i="1"/>
  <c r="AN58" i="1"/>
  <c r="AN28" i="1"/>
  <c r="AN29" i="1"/>
  <c r="AN24" i="1"/>
  <c r="AN25" i="1"/>
  <c r="AN26" i="1"/>
  <c r="AN15" i="1"/>
  <c r="AN18" i="1"/>
  <c r="AN22" i="1"/>
  <c r="AN21" i="1"/>
  <c r="AN23" i="1"/>
  <c r="AN19" i="1"/>
  <c r="AN20" i="1"/>
  <c r="AN9" i="1"/>
  <c r="AN16" i="1"/>
  <c r="AN17" i="1"/>
  <c r="AN12" i="1"/>
  <c r="AN13" i="1"/>
  <c r="AN14" i="1"/>
  <c r="AN10" i="1"/>
  <c r="AN11" i="1"/>
  <c r="AN6" i="1"/>
  <c r="AN7" i="1"/>
  <c r="AN4" i="1"/>
  <c r="AN5" i="1"/>
  <c r="AM75" i="1"/>
  <c r="AM74" i="1"/>
  <c r="AM73" i="1"/>
  <c r="AM68" i="1"/>
  <c r="AM71" i="1"/>
  <c r="AM70" i="1"/>
  <c r="AM69" i="1"/>
  <c r="AM67" i="1"/>
  <c r="AM66" i="1"/>
  <c r="AM65" i="1"/>
  <c r="AM64" i="1"/>
  <c r="AM63" i="1"/>
  <c r="AM62" i="1"/>
  <c r="AM61" i="1"/>
  <c r="AM60" i="1"/>
  <c r="AM59" i="1"/>
  <c r="AM29" i="1"/>
  <c r="AM58" i="1"/>
  <c r="AM28" i="1"/>
  <c r="AM26" i="1"/>
  <c r="AM27" i="1"/>
  <c r="AM25" i="1"/>
  <c r="AM23" i="1"/>
  <c r="AM22" i="1"/>
  <c r="AM21" i="1"/>
  <c r="AM20" i="1"/>
  <c r="AM19" i="1"/>
  <c r="AM17" i="1"/>
  <c r="AM16" i="1"/>
  <c r="AM15" i="1"/>
  <c r="AM14" i="1"/>
  <c r="AM13" i="1"/>
  <c r="AM11" i="1"/>
  <c r="AM6" i="1"/>
  <c r="AM9" i="1"/>
  <c r="AM8" i="1"/>
  <c r="AM10" i="1"/>
  <c r="AM5" i="1"/>
  <c r="AM4" i="1"/>
  <c r="AM2" i="1"/>
  <c r="U70" i="1"/>
  <c r="U69" i="1"/>
  <c r="U62" i="1"/>
  <c r="U71" i="1"/>
  <c r="U68" i="1"/>
  <c r="U61" i="1"/>
  <c r="U63" i="1"/>
  <c r="U76" i="1"/>
  <c r="U60" i="1"/>
  <c r="U75" i="1"/>
  <c r="U67" i="1"/>
  <c r="U59" i="1"/>
  <c r="U74" i="1"/>
  <c r="U66" i="1"/>
  <c r="U73" i="1"/>
  <c r="U65" i="1"/>
  <c r="U72" i="1"/>
  <c r="U64" i="1"/>
  <c r="U26" i="1"/>
  <c r="U18" i="1"/>
  <c r="U10" i="1"/>
  <c r="U23" i="1"/>
  <c r="U15" i="1"/>
  <c r="U7" i="1"/>
  <c r="U25" i="1"/>
  <c r="U17" i="1"/>
  <c r="U9" i="1"/>
  <c r="U22" i="1"/>
  <c r="U14" i="1"/>
  <c r="U6" i="1"/>
  <c r="U24" i="1"/>
  <c r="U16" i="1"/>
  <c r="U8" i="1"/>
  <c r="U29" i="1"/>
  <c r="U21" i="1"/>
  <c r="U13" i="1"/>
  <c r="U5" i="1"/>
  <c r="U28" i="1"/>
  <c r="U20" i="1"/>
  <c r="U12" i="1"/>
  <c r="U4" i="1"/>
  <c r="U27" i="1"/>
  <c r="U19" i="1"/>
  <c r="U11" i="1"/>
  <c r="U3" i="1"/>
  <c r="AL14" i="1"/>
  <c r="AL13" i="1"/>
  <c r="Z70" i="1"/>
  <c r="Z62" i="1"/>
  <c r="Z26" i="1"/>
  <c r="AL75" i="1"/>
  <c r="Z18" i="1"/>
  <c r="AL60" i="1"/>
  <c r="Z10" i="1"/>
  <c r="AL26" i="1"/>
  <c r="Z69" i="1"/>
  <c r="Z61" i="1"/>
  <c r="Z25" i="1"/>
  <c r="Z17" i="1"/>
  <c r="Z9" i="1"/>
  <c r="Z76" i="1"/>
  <c r="Z68" i="1"/>
  <c r="Z60" i="1"/>
  <c r="Z24" i="1"/>
  <c r="Z16" i="1"/>
  <c r="Z8" i="1"/>
  <c r="Z75" i="1"/>
  <c r="Z67" i="1"/>
  <c r="Z59" i="1"/>
  <c r="Z23" i="1"/>
  <c r="Z15" i="1"/>
  <c r="Z7" i="1"/>
  <c r="Z74" i="1"/>
  <c r="Z66" i="1"/>
  <c r="Z58" i="1"/>
  <c r="Z22" i="1"/>
  <c r="Z14" i="1"/>
  <c r="Z6" i="1"/>
  <c r="AL74" i="1"/>
  <c r="Z73" i="1"/>
  <c r="Z65" i="1"/>
  <c r="Z29" i="1"/>
  <c r="Z21" i="1"/>
  <c r="Z13" i="1"/>
  <c r="Z5" i="1"/>
  <c r="Z72" i="1"/>
  <c r="Z64" i="1"/>
  <c r="Z28" i="1"/>
  <c r="Z20" i="1"/>
  <c r="Z12" i="1"/>
  <c r="Z4" i="1"/>
  <c r="Z71" i="1"/>
  <c r="Z63" i="1"/>
  <c r="Z27" i="1"/>
  <c r="Z19" i="1"/>
  <c r="Z11" i="1"/>
  <c r="Z3" i="1"/>
  <c r="AL65" i="1"/>
  <c r="AL22" i="1"/>
  <c r="AL62" i="1"/>
  <c r="AL16" i="1"/>
  <c r="AL76" i="1"/>
  <c r="AL61" i="1"/>
  <c r="AL15" i="1"/>
  <c r="AL73" i="1"/>
  <c r="AL25" i="1"/>
  <c r="AL10" i="1"/>
  <c r="AL70" i="1"/>
  <c r="AL24" i="1"/>
  <c r="AL6" i="1"/>
  <c r="AL66" i="1"/>
  <c r="AL23" i="1"/>
  <c r="AL69" i="1"/>
  <c r="AL59" i="1"/>
  <c r="AL21" i="1"/>
  <c r="AL9" i="1"/>
  <c r="AL68" i="1"/>
  <c r="AL58" i="1"/>
  <c r="AL18" i="1"/>
  <c r="AL8" i="1"/>
  <c r="AL2" i="1"/>
  <c r="AL67" i="1"/>
  <c r="AL29" i="1"/>
  <c r="AL17" i="1"/>
  <c r="AL7" i="1"/>
  <c r="AL5" i="1"/>
  <c r="AL72" i="1"/>
  <c r="AL64" i="1"/>
  <c r="AL28" i="1"/>
  <c r="AL20" i="1"/>
  <c r="AL12" i="1"/>
  <c r="AL4" i="1"/>
  <c r="AL71" i="1"/>
  <c r="AL63" i="1"/>
  <c r="AL27" i="1"/>
  <c r="AL19" i="1"/>
  <c r="AL11" i="1"/>
  <c r="B477" i="1" l="1"/>
  <c r="B651" i="1"/>
  <c r="B628" i="1"/>
  <c r="B315" i="1"/>
  <c r="B482" i="1"/>
  <c r="B771" i="1"/>
  <c r="B601" i="1"/>
  <c r="B770" i="1"/>
  <c r="B483" i="1"/>
  <c r="B507" i="1"/>
  <c r="B4" i="1"/>
  <c r="B510" i="1"/>
  <c r="B461" i="1"/>
  <c r="B231" i="1"/>
  <c r="B55" i="1"/>
  <c r="B626" i="1"/>
  <c r="B457" i="1"/>
  <c r="A200" i="1"/>
  <c r="B467" i="1"/>
  <c r="B471" i="1"/>
  <c r="B56" i="1"/>
  <c r="A232" i="1"/>
  <c r="B656" i="1"/>
  <c r="B620" i="1"/>
  <c r="B192" i="1"/>
  <c r="B616" i="1"/>
  <c r="B752" i="1"/>
  <c r="B659" i="1"/>
  <c r="B794" i="1"/>
  <c r="B356" i="1"/>
  <c r="B481" i="1"/>
  <c r="B499" i="1"/>
  <c r="B50" i="1"/>
  <c r="B165" i="1"/>
  <c r="B314" i="1"/>
  <c r="B478" i="1"/>
  <c r="B479" i="1"/>
  <c r="B605" i="1"/>
  <c r="B785" i="1"/>
  <c r="B360" i="1"/>
  <c r="B653" i="1"/>
  <c r="B633" i="1"/>
  <c r="B373" i="1"/>
  <c r="B802" i="1"/>
  <c r="A109" i="1"/>
  <c r="B240" i="1"/>
  <c r="B491" i="1"/>
  <c r="B43" i="1"/>
  <c r="B83" i="1"/>
  <c r="B204" i="1"/>
  <c r="B300" i="1"/>
  <c r="B502" i="1"/>
  <c r="B779" i="1"/>
  <c r="B807" i="1"/>
  <c r="B172" i="1"/>
  <c r="B449" i="1"/>
  <c r="B627" i="1"/>
  <c r="B652" i="1"/>
  <c r="B666" i="1"/>
  <c r="B778" i="1"/>
  <c r="B164" i="1"/>
  <c r="B365" i="1"/>
  <c r="B597" i="1"/>
  <c r="B647" i="1"/>
  <c r="B667" i="1"/>
  <c r="B803" i="1"/>
  <c r="B748" i="1"/>
  <c r="A101" i="1"/>
  <c r="B205" i="1"/>
  <c r="B307" i="1"/>
  <c r="B463" i="1"/>
  <c r="B619" i="1"/>
  <c r="B665" i="1"/>
  <c r="B316" i="1"/>
  <c r="A5" i="1"/>
  <c r="A238" i="1"/>
  <c r="B302" i="1"/>
  <c r="B613" i="1"/>
  <c r="B630" i="1"/>
  <c r="B185" i="1"/>
  <c r="B353" i="1"/>
  <c r="B453" i="1"/>
  <c r="B496" i="1"/>
  <c r="A38" i="1"/>
  <c r="A180" i="1"/>
  <c r="A299" i="1"/>
  <c r="A317" i="1"/>
  <c r="B45" i="1"/>
  <c r="B189" i="1"/>
  <c r="B244" i="1"/>
  <c r="B295" i="1"/>
  <c r="B309" i="1"/>
  <c r="B508" i="1"/>
  <c r="B612" i="1"/>
  <c r="B658" i="1"/>
  <c r="B671" i="1"/>
  <c r="B745" i="1"/>
  <c r="B800" i="1"/>
  <c r="B100" i="1"/>
  <c r="B173" i="1"/>
  <c r="B235" i="1"/>
  <c r="B294" i="1"/>
  <c r="B487" i="1"/>
  <c r="B764" i="1"/>
  <c r="B695" i="1"/>
  <c r="B37" i="1"/>
  <c r="B196" i="1"/>
  <c r="A188" i="1"/>
  <c r="A247" i="1"/>
  <c r="B259" i="1"/>
  <c r="A265" i="1"/>
  <c r="B448" i="1"/>
  <c r="B473" i="1"/>
  <c r="B636" i="1"/>
  <c r="B673" i="1"/>
  <c r="B672" i="1"/>
  <c r="B116" i="1"/>
  <c r="B181" i="1"/>
  <c r="B297" i="1"/>
  <c r="B503" i="1"/>
  <c r="B639" i="1"/>
  <c r="B763" i="1"/>
  <c r="B161" i="1"/>
  <c r="B51" i="1"/>
  <c r="B372" i="1"/>
  <c r="B801" i="1"/>
  <c r="A93" i="1"/>
  <c r="A241" i="1"/>
  <c r="A267" i="1"/>
  <c r="A364" i="1"/>
  <c r="A368" i="1"/>
  <c r="A446" i="1"/>
  <c r="A486" i="1"/>
  <c r="A488" i="1"/>
  <c r="A600" i="1"/>
  <c r="A599" i="1"/>
  <c r="A604" i="1"/>
  <c r="A603" i="1"/>
  <c r="A650" i="1"/>
  <c r="A638" i="1"/>
  <c r="A773" i="1"/>
  <c r="A786" i="1"/>
  <c r="B9" i="1"/>
  <c r="A657" i="1"/>
  <c r="B246" i="1"/>
  <c r="B237" i="1"/>
  <c r="B511" i="1"/>
  <c r="A10" i="1"/>
  <c r="A33" i="1"/>
  <c r="B89" i="1"/>
  <c r="B184" i="1"/>
  <c r="A193" i="1"/>
  <c r="B480" i="1"/>
  <c r="B787" i="1"/>
  <c r="A11" i="1"/>
  <c r="B243" i="1"/>
  <c r="B261" i="1"/>
  <c r="B311" i="1"/>
  <c r="B349" i="1"/>
  <c r="B361" i="1"/>
  <c r="B615" i="1"/>
  <c r="B660" i="1"/>
  <c r="B662" i="1"/>
  <c r="A44" i="1"/>
  <c r="A49" i="1"/>
  <c r="B81" i="1"/>
  <c r="A97" i="1"/>
  <c r="B104" i="1"/>
  <c r="B176" i="1"/>
  <c r="B306" i="1"/>
  <c r="B458" i="1"/>
  <c r="B512" i="1"/>
  <c r="B646" i="1"/>
  <c r="B617" i="1"/>
  <c r="B809" i="1"/>
  <c r="B757" i="1"/>
  <c r="B509" i="1"/>
  <c r="B57" i="1"/>
  <c r="B447" i="1"/>
  <c r="B500" i="1"/>
  <c r="B661" i="1"/>
  <c r="B39" i="1"/>
  <c r="B107" i="1"/>
  <c r="A32" i="1"/>
  <c r="B96" i="1"/>
  <c r="B168" i="1"/>
  <c r="B197" i="1"/>
  <c r="A201" i="1"/>
  <c r="B234" i="1"/>
  <c r="A228" i="1"/>
  <c r="A348" i="1"/>
  <c r="A352" i="1"/>
  <c r="B456" i="1"/>
  <c r="B450" i="1"/>
  <c r="B602" i="1"/>
  <c r="A663" i="1"/>
  <c r="A607" i="1"/>
  <c r="A759" i="1"/>
  <c r="A749" i="1"/>
  <c r="B490" i="1"/>
  <c r="B498" i="1"/>
  <c r="B649" i="1"/>
  <c r="B493" i="1"/>
  <c r="B632" i="1"/>
  <c r="B629" i="1"/>
  <c r="B648" i="1"/>
  <c r="B772" i="1"/>
  <c r="B263" i="1"/>
  <c r="B301" i="1"/>
  <c r="B472" i="1"/>
  <c r="A112" i="1"/>
  <c r="B160" i="1"/>
  <c r="B105" i="1"/>
  <c r="B169" i="1"/>
  <c r="B357" i="1"/>
  <c r="B459" i="1"/>
  <c r="B470" i="1"/>
  <c r="B637" i="1"/>
  <c r="B640" i="1"/>
  <c r="B623" i="1"/>
  <c r="B92" i="1"/>
  <c r="B241" i="1"/>
  <c r="A39" i="1"/>
  <c r="B93" i="1"/>
  <c r="B603" i="1"/>
  <c r="B600" i="1"/>
  <c r="B773" i="1"/>
  <c r="B267" i="1"/>
  <c r="B296" i="1"/>
  <c r="B368" i="1"/>
  <c r="B364" i="1"/>
  <c r="B446" i="1"/>
  <c r="B466" i="1"/>
  <c r="B492" i="1"/>
  <c r="B650" i="1"/>
  <c r="B604" i="1"/>
  <c r="B749" i="1"/>
  <c r="B792" i="1"/>
  <c r="B765" i="1"/>
  <c r="B117" i="1"/>
  <c r="B177" i="1"/>
  <c r="B229" i="1"/>
  <c r="A244" i="1"/>
  <c r="A263" i="1"/>
  <c r="B299" i="1"/>
  <c r="B312" i="1"/>
  <c r="A301" i="1"/>
  <c r="B369" i="1"/>
  <c r="B462" i="1"/>
  <c r="B486" i="1"/>
  <c r="B488" i="1"/>
  <c r="B476" i="1"/>
  <c r="B497" i="1"/>
  <c r="A490" i="1"/>
  <c r="B622" i="1"/>
  <c r="B631" i="1"/>
  <c r="B618" i="1"/>
  <c r="B606" i="1"/>
  <c r="B638" i="1"/>
  <c r="B753" i="1"/>
  <c r="B758" i="1"/>
  <c r="B808" i="1"/>
  <c r="B38" i="1"/>
  <c r="B44" i="1"/>
  <c r="B109" i="1"/>
  <c r="B188" i="1"/>
  <c r="B193" i="1"/>
  <c r="B247" i="1"/>
  <c r="B265" i="1"/>
  <c r="B317" i="1"/>
  <c r="B352" i="1"/>
  <c r="B348" i="1"/>
  <c r="B513" i="1"/>
  <c r="B501" i="1"/>
  <c r="B608" i="1"/>
  <c r="B607" i="1"/>
  <c r="B663" i="1"/>
  <c r="B642" i="1"/>
  <c r="B657" i="1"/>
  <c r="B759" i="1"/>
  <c r="B112" i="1"/>
  <c r="B697" i="1"/>
  <c r="B32" i="1"/>
  <c r="B85" i="1"/>
  <c r="B180" i="1"/>
  <c r="B200" i="1"/>
  <c r="A181" i="1"/>
  <c r="B232" i="1"/>
  <c r="A246" i="1"/>
  <c r="B304" i="1"/>
  <c r="A297" i="1"/>
  <c r="B452" i="1"/>
  <c r="B468" i="1"/>
  <c r="B506" i="1"/>
  <c r="A503" i="1"/>
  <c r="B599" i="1"/>
  <c r="B643" i="1"/>
  <c r="B641" i="1"/>
  <c r="B670" i="1"/>
  <c r="B744" i="1"/>
  <c r="B795" i="1"/>
  <c r="B113" i="1"/>
  <c r="B10" i="1"/>
  <c r="B11" i="1"/>
  <c r="B5" i="1"/>
  <c r="B696" i="1"/>
  <c r="B33" i="1"/>
  <c r="B49" i="1"/>
  <c r="B88" i="1"/>
  <c r="B97" i="1"/>
  <c r="B101" i="1"/>
  <c r="B201" i="1"/>
  <c r="B228" i="1"/>
  <c r="B238" i="1"/>
  <c r="B469" i="1"/>
  <c r="B451" i="1"/>
  <c r="B460" i="1"/>
  <c r="B489" i="1"/>
  <c r="B598" i="1"/>
  <c r="B668" i="1"/>
  <c r="B786" i="1"/>
  <c r="B781" i="1"/>
  <c r="A169" i="1"/>
  <c r="A470" i="1"/>
  <c r="A85" i="1"/>
  <c r="A92" i="1"/>
  <c r="A168" i="1"/>
  <c r="A229" i="1"/>
  <c r="A307" i="1"/>
  <c r="A456" i="1"/>
  <c r="A513" i="1"/>
  <c r="A765" i="1"/>
  <c r="A304" i="1"/>
  <c r="A357" i="1"/>
  <c r="A608" i="1"/>
  <c r="A642" i="1"/>
  <c r="A795" i="1"/>
  <c r="A640" i="1"/>
  <c r="A96" i="1"/>
  <c r="A197" i="1"/>
  <c r="A196" i="1"/>
  <c r="A234" i="1"/>
  <c r="A450" i="1"/>
  <c r="A448" i="1"/>
  <c r="A472" i="1"/>
  <c r="A473" i="1"/>
  <c r="A493" i="1"/>
  <c r="A498" i="1"/>
  <c r="A649" i="1"/>
  <c r="A745" i="1"/>
  <c r="A772" i="1"/>
  <c r="A116" i="1"/>
  <c r="A311" i="1"/>
  <c r="A361" i="1"/>
  <c r="A496" i="1"/>
  <c r="A508" i="1"/>
  <c r="A459" i="1"/>
  <c r="A637" i="1"/>
  <c r="A57" i="1"/>
  <c r="A349" i="1"/>
  <c r="A353" i="1"/>
  <c r="A501" i="1"/>
  <c r="A480" i="1"/>
  <c r="A509" i="1"/>
  <c r="A50" i="1"/>
  <c r="A770" i="1"/>
  <c r="A365" i="1"/>
  <c r="A369" i="1"/>
  <c r="A463" i="1"/>
  <c r="A457" i="1"/>
  <c r="A462" i="1"/>
  <c r="A497" i="1"/>
  <c r="A506" i="1"/>
  <c r="A630" i="1"/>
  <c r="A613" i="1"/>
  <c r="A597" i="1"/>
  <c r="A619" i="1"/>
  <c r="A618" i="1"/>
  <c r="A647" i="1"/>
  <c r="A665" i="1"/>
  <c r="A667" i="1"/>
  <c r="A748" i="1"/>
  <c r="A753" i="1"/>
  <c r="A744" i="1"/>
  <c r="A781" i="1"/>
  <c r="A803" i="1"/>
  <c r="A113" i="1"/>
  <c r="A315" i="1"/>
  <c r="A37" i="1"/>
  <c r="A100" i="1"/>
  <c r="A173" i="1"/>
  <c r="A235" i="1"/>
  <c r="A259" i="1"/>
  <c r="A294" i="1"/>
  <c r="A312" i="1"/>
  <c r="A461" i="1"/>
  <c r="A487" i="1"/>
  <c r="A460" i="1"/>
  <c r="A468" i="1"/>
  <c r="A466" i="1"/>
  <c r="A510" i="1"/>
  <c r="A482" i="1"/>
  <c r="A598" i="1"/>
  <c r="A622" i="1"/>
  <c r="A631" i="1"/>
  <c r="A668" i="1"/>
  <c r="A670" i="1"/>
  <c r="A672" i="1"/>
  <c r="A764" i="1"/>
  <c r="A808" i="1"/>
  <c r="A107" i="1"/>
  <c r="A192" i="1"/>
  <c r="A177" i="1"/>
  <c r="A296" i="1"/>
  <c r="A451" i="1"/>
  <c r="A452" i="1"/>
  <c r="A481" i="1"/>
  <c r="A469" i="1"/>
  <c r="A476" i="1"/>
  <c r="A489" i="1"/>
  <c r="A492" i="1"/>
  <c r="A601" i="1"/>
  <c r="A643" i="1"/>
  <c r="A606" i="1"/>
  <c r="A641" i="1"/>
  <c r="A623" i="1"/>
  <c r="A758" i="1"/>
  <c r="A771" i="1"/>
  <c r="A792" i="1"/>
  <c r="A117" i="1"/>
  <c r="A632" i="1"/>
  <c r="A602" i="1"/>
  <c r="A612" i="1"/>
  <c r="A671" i="1"/>
  <c r="A651" i="1"/>
  <c r="A629" i="1"/>
  <c r="A648" i="1"/>
  <c r="A780" i="1"/>
  <c r="A802" i="1"/>
  <c r="A165" i="1"/>
  <c r="A55" i="1"/>
  <c r="A189" i="1"/>
  <c r="A295" i="1"/>
  <c r="A309" i="1"/>
  <c r="A373" i="1"/>
  <c r="A695" i="1"/>
  <c r="A45" i="1"/>
  <c r="A43" i="1"/>
  <c r="A88" i="1"/>
  <c r="A83" i="1"/>
  <c r="A176" i="1"/>
  <c r="A172" i="1"/>
  <c r="A204" i="1"/>
  <c r="A231" i="1"/>
  <c r="A240" i="1"/>
  <c r="A261" i="1"/>
  <c r="A300" i="1"/>
  <c r="A314" i="1"/>
  <c r="A306" i="1"/>
  <c r="A360" i="1"/>
  <c r="A356" i="1"/>
  <c r="A478" i="1"/>
  <c r="A453" i="1"/>
  <c r="A449" i="1"/>
  <c r="A479" i="1"/>
  <c r="A491" i="1"/>
  <c r="A499" i="1"/>
  <c r="A502" i="1"/>
  <c r="A605" i="1"/>
  <c r="A621" i="1"/>
  <c r="A628" i="1"/>
  <c r="A627" i="1"/>
  <c r="A653" i="1"/>
  <c r="A633" i="1"/>
  <c r="A666" i="1"/>
  <c r="A652" i="1"/>
  <c r="A779" i="1"/>
  <c r="A785" i="1"/>
  <c r="A807" i="1"/>
  <c r="A794" i="1"/>
  <c r="A160" i="1"/>
  <c r="A483" i="1"/>
  <c r="A9" i="1"/>
  <c r="A51" i="1"/>
  <c r="A56" i="1"/>
  <c r="A89" i="1"/>
  <c r="A184" i="1"/>
  <c r="A237" i="1"/>
  <c r="A305" i="1"/>
  <c r="A372" i="1"/>
  <c r="A511" i="1"/>
  <c r="A471" i="1"/>
  <c r="A467" i="1"/>
  <c r="A507" i="1"/>
  <c r="A620" i="1"/>
  <c r="A636" i="1"/>
  <c r="A616" i="1"/>
  <c r="A659" i="1"/>
  <c r="A639" i="1"/>
  <c r="A673" i="1"/>
  <c r="A656" i="1"/>
  <c r="A658" i="1"/>
  <c r="A763" i="1"/>
  <c r="A752" i="1"/>
  <c r="A801" i="1"/>
  <c r="A800" i="1"/>
  <c r="A161" i="1"/>
  <c r="A477" i="1"/>
  <c r="A4" i="1"/>
  <c r="A81" i="1"/>
  <c r="A104" i="1"/>
  <c r="A205" i="1"/>
  <c r="A185" i="1"/>
  <c r="A243" i="1"/>
  <c r="A310" i="1"/>
  <c r="A302" i="1"/>
  <c r="A316" i="1"/>
  <c r="A447" i="1"/>
  <c r="A458" i="1"/>
  <c r="A500" i="1"/>
  <c r="A512" i="1"/>
  <c r="A626" i="1"/>
  <c r="A661" i="1"/>
  <c r="A617" i="1"/>
  <c r="A615" i="1"/>
  <c r="A614" i="1"/>
  <c r="A646" i="1"/>
  <c r="A660" i="1"/>
  <c r="A662" i="1"/>
  <c r="A778" i="1"/>
  <c r="A757" i="1"/>
  <c r="A787" i="1"/>
  <c r="A809" i="1"/>
  <c r="A793" i="1"/>
  <c r="A164" i="1"/>
  <c r="L158" i="1"/>
  <c r="I158" i="1" s="1"/>
  <c r="M158" i="1"/>
  <c r="H158" i="1" s="1"/>
  <c r="K158" i="1"/>
  <c r="J158" i="1" s="1"/>
  <c r="L163" i="1"/>
  <c r="I163" i="1" s="1"/>
  <c r="M163" i="1"/>
  <c r="H163" i="1" s="1"/>
  <c r="K163" i="1"/>
  <c r="J163" i="1" s="1"/>
  <c r="M159" i="1"/>
  <c r="H159" i="1" s="1"/>
  <c r="L159" i="1"/>
  <c r="I159" i="1" s="1"/>
  <c r="K159" i="1"/>
  <c r="J159" i="1" s="1"/>
  <c r="M162" i="1"/>
  <c r="H162" i="1" s="1"/>
  <c r="L162" i="1"/>
  <c r="I162" i="1" s="1"/>
  <c r="K162" i="1"/>
  <c r="J162" i="1" s="1"/>
  <c r="K114" i="1"/>
  <c r="J114" i="1" s="1"/>
  <c r="L114" i="1"/>
  <c r="I114" i="1" s="1"/>
  <c r="M114" i="1"/>
  <c r="H114" i="1" s="1"/>
  <c r="M115" i="1"/>
  <c r="H115" i="1" s="1"/>
  <c r="L115" i="1"/>
  <c r="I115" i="1" s="1"/>
  <c r="K115" i="1"/>
  <c r="J115" i="1" s="1"/>
  <c r="M111" i="1"/>
  <c r="H111" i="1" s="1"/>
  <c r="K111" i="1"/>
  <c r="J111" i="1" s="1"/>
  <c r="L111" i="1"/>
  <c r="I111" i="1" s="1"/>
  <c r="L110" i="1"/>
  <c r="I110" i="1" s="1"/>
  <c r="K110" i="1"/>
  <c r="J110" i="1" s="1"/>
  <c r="M110" i="1"/>
  <c r="H110" i="1" s="1"/>
  <c r="M782" i="1"/>
  <c r="H782" i="1" s="1"/>
  <c r="L782" i="1"/>
  <c r="I782" i="1" s="1"/>
  <c r="K782" i="1"/>
  <c r="J782" i="1" s="1"/>
  <c r="L777" i="1"/>
  <c r="I777" i="1" s="1"/>
  <c r="K777" i="1"/>
  <c r="J777" i="1" s="1"/>
  <c r="M777" i="1"/>
  <c r="H777" i="1" s="1"/>
  <c r="M804" i="1"/>
  <c r="H804" i="1" s="1"/>
  <c r="L804" i="1"/>
  <c r="I804" i="1" s="1"/>
  <c r="K804" i="1"/>
  <c r="J804" i="1" s="1"/>
  <c r="M783" i="1"/>
  <c r="H783" i="1" s="1"/>
  <c r="L783" i="1"/>
  <c r="I783" i="1" s="1"/>
  <c r="K783" i="1"/>
  <c r="J783" i="1" s="1"/>
  <c r="M769" i="1"/>
  <c r="H769" i="1" s="1"/>
  <c r="K769" i="1"/>
  <c r="J769" i="1" s="1"/>
  <c r="L769" i="1"/>
  <c r="I769" i="1" s="1"/>
  <c r="L791" i="1"/>
  <c r="I791" i="1" s="1"/>
  <c r="K791" i="1"/>
  <c r="J791" i="1" s="1"/>
  <c r="M791" i="1"/>
  <c r="H791" i="1" s="1"/>
  <c r="M798" i="1"/>
  <c r="H798" i="1" s="1"/>
  <c r="K798" i="1"/>
  <c r="J798" i="1" s="1"/>
  <c r="L798" i="1"/>
  <c r="I798" i="1" s="1"/>
  <c r="K774" i="1"/>
  <c r="J774" i="1" s="1"/>
  <c r="M774" i="1"/>
  <c r="H774" i="1" s="1"/>
  <c r="L774" i="1"/>
  <c r="I774" i="1" s="1"/>
  <c r="L743" i="1"/>
  <c r="I743" i="1" s="1"/>
  <c r="M743" i="1"/>
  <c r="H743" i="1" s="1"/>
  <c r="K743" i="1"/>
  <c r="J743" i="1" s="1"/>
  <c r="L750" i="1"/>
  <c r="I750" i="1" s="1"/>
  <c r="K750" i="1"/>
  <c r="J750" i="1" s="1"/>
  <c r="M750" i="1"/>
  <c r="H750" i="1" s="1"/>
  <c r="K796" i="1"/>
  <c r="J796" i="1" s="1"/>
  <c r="M796" i="1"/>
  <c r="H796" i="1" s="1"/>
  <c r="L796" i="1"/>
  <c r="I796" i="1" s="1"/>
  <c r="K806" i="1"/>
  <c r="J806" i="1" s="1"/>
  <c r="M806" i="1"/>
  <c r="H806" i="1" s="1"/>
  <c r="L806" i="1"/>
  <c r="I806" i="1" s="1"/>
  <c r="M776" i="1"/>
  <c r="H776" i="1" s="1"/>
  <c r="L776" i="1"/>
  <c r="I776" i="1" s="1"/>
  <c r="K776" i="1"/>
  <c r="J776" i="1" s="1"/>
  <c r="M768" i="1"/>
  <c r="H768" i="1" s="1"/>
  <c r="L768" i="1"/>
  <c r="I768" i="1" s="1"/>
  <c r="K768" i="1"/>
  <c r="J768" i="1" s="1"/>
  <c r="L746" i="1"/>
  <c r="I746" i="1" s="1"/>
  <c r="K746" i="1"/>
  <c r="J746" i="1" s="1"/>
  <c r="M746" i="1"/>
  <c r="H746" i="1" s="1"/>
  <c r="K790" i="1"/>
  <c r="J790" i="1" s="1"/>
  <c r="L790" i="1"/>
  <c r="I790" i="1" s="1"/>
  <c r="M790" i="1"/>
  <c r="H790" i="1" s="1"/>
  <c r="M755" i="1"/>
  <c r="H755" i="1" s="1"/>
  <c r="L755" i="1"/>
  <c r="I755" i="1" s="1"/>
  <c r="K755" i="1"/>
  <c r="J755" i="1" s="1"/>
  <c r="K756" i="1"/>
  <c r="J756" i="1" s="1"/>
  <c r="M756" i="1"/>
  <c r="H756" i="1" s="1"/>
  <c r="L756" i="1"/>
  <c r="I756" i="1" s="1"/>
  <c r="L789" i="1"/>
  <c r="I789" i="1" s="1"/>
  <c r="K789" i="1"/>
  <c r="J789" i="1" s="1"/>
  <c r="M789" i="1"/>
  <c r="H789" i="1" s="1"/>
  <c r="K805" i="1"/>
  <c r="J805" i="1" s="1"/>
  <c r="M805" i="1"/>
  <c r="H805" i="1" s="1"/>
  <c r="L805" i="1"/>
  <c r="I805" i="1" s="1"/>
  <c r="L797" i="1"/>
  <c r="I797" i="1" s="1"/>
  <c r="M797" i="1"/>
  <c r="H797" i="1" s="1"/>
  <c r="K797" i="1"/>
  <c r="J797" i="1" s="1"/>
  <c r="K784" i="1"/>
  <c r="J784" i="1" s="1"/>
  <c r="L784" i="1"/>
  <c r="I784" i="1" s="1"/>
  <c r="M784" i="1"/>
  <c r="H784" i="1" s="1"/>
  <c r="K742" i="1"/>
  <c r="J742" i="1" s="1"/>
  <c r="M742" i="1"/>
  <c r="H742" i="1" s="1"/>
  <c r="L742" i="1"/>
  <c r="I742" i="1" s="1"/>
  <c r="L747" i="1"/>
  <c r="I747" i="1" s="1"/>
  <c r="M747" i="1"/>
  <c r="H747" i="1" s="1"/>
  <c r="K747" i="1"/>
  <c r="J747" i="1" s="1"/>
  <c r="M760" i="1"/>
  <c r="H760" i="1" s="1"/>
  <c r="L760" i="1"/>
  <c r="I760" i="1" s="1"/>
  <c r="K760" i="1"/>
  <c r="J760" i="1" s="1"/>
  <c r="L762" i="1"/>
  <c r="I762" i="1" s="1"/>
  <c r="K762" i="1"/>
  <c r="J762" i="1" s="1"/>
  <c r="M762" i="1"/>
  <c r="H762" i="1" s="1"/>
  <c r="L799" i="1"/>
  <c r="I799" i="1" s="1"/>
  <c r="K799" i="1"/>
  <c r="J799" i="1" s="1"/>
  <c r="M799" i="1"/>
  <c r="H799" i="1" s="1"/>
  <c r="M767" i="1"/>
  <c r="H767" i="1" s="1"/>
  <c r="K767" i="1"/>
  <c r="J767" i="1" s="1"/>
  <c r="L767" i="1"/>
  <c r="I767" i="1" s="1"/>
  <c r="M788" i="1"/>
  <c r="H788" i="1" s="1"/>
  <c r="L788" i="1"/>
  <c r="I788" i="1" s="1"/>
  <c r="K788" i="1"/>
  <c r="J788" i="1" s="1"/>
  <c r="E812" i="1"/>
  <c r="L775" i="1"/>
  <c r="I775" i="1" s="1"/>
  <c r="M775" i="1"/>
  <c r="H775" i="1" s="1"/>
  <c r="K775" i="1"/>
  <c r="J775" i="1" s="1"/>
  <c r="M751" i="1"/>
  <c r="H751" i="1" s="1"/>
  <c r="L751" i="1"/>
  <c r="I751" i="1" s="1"/>
  <c r="K751" i="1"/>
  <c r="J751" i="1" s="1"/>
  <c r="M761" i="1"/>
  <c r="H761" i="1" s="1"/>
  <c r="L761" i="1"/>
  <c r="I761" i="1" s="1"/>
  <c r="K761" i="1"/>
  <c r="J761" i="1" s="1"/>
  <c r="L766" i="1"/>
  <c r="I766" i="1" s="1"/>
  <c r="K766" i="1"/>
  <c r="J766" i="1" s="1"/>
  <c r="M766" i="1"/>
  <c r="H766" i="1" s="1"/>
  <c r="M754" i="1"/>
  <c r="H754" i="1" s="1"/>
  <c r="L754" i="1"/>
  <c r="I754" i="1" s="1"/>
  <c r="K754" i="1"/>
  <c r="J754" i="1" s="1"/>
  <c r="K595" i="1"/>
  <c r="J595" i="1" s="1"/>
  <c r="M595" i="1"/>
  <c r="H595" i="1" s="1"/>
  <c r="L595" i="1"/>
  <c r="I595" i="1" s="1"/>
  <c r="M634" i="1"/>
  <c r="H634" i="1" s="1"/>
  <c r="L634" i="1"/>
  <c r="I634" i="1" s="1"/>
  <c r="K634" i="1"/>
  <c r="J634" i="1" s="1"/>
  <c r="L644" i="1"/>
  <c r="I644" i="1" s="1"/>
  <c r="K644" i="1"/>
  <c r="J644" i="1" s="1"/>
  <c r="M644" i="1"/>
  <c r="H644" i="1" s="1"/>
  <c r="M611" i="1"/>
  <c r="H611" i="1" s="1"/>
  <c r="L611" i="1"/>
  <c r="I611" i="1" s="1"/>
  <c r="K611" i="1"/>
  <c r="J611" i="1" s="1"/>
  <c r="M654" i="1"/>
  <c r="H654" i="1" s="1"/>
  <c r="K654" i="1"/>
  <c r="J654" i="1" s="1"/>
  <c r="L654" i="1"/>
  <c r="I654" i="1" s="1"/>
  <c r="L596" i="1"/>
  <c r="I596" i="1" s="1"/>
  <c r="M596" i="1"/>
  <c r="H596" i="1" s="1"/>
  <c r="K596" i="1"/>
  <c r="J596" i="1" s="1"/>
  <c r="M664" i="1"/>
  <c r="H664" i="1" s="1"/>
  <c r="K664" i="1"/>
  <c r="J664" i="1" s="1"/>
  <c r="L664" i="1"/>
  <c r="I664" i="1" s="1"/>
  <c r="K625" i="1"/>
  <c r="J625" i="1" s="1"/>
  <c r="L625" i="1"/>
  <c r="I625" i="1" s="1"/>
  <c r="M625" i="1"/>
  <c r="H625" i="1" s="1"/>
  <c r="M669" i="1"/>
  <c r="H669" i="1" s="1"/>
  <c r="L669" i="1"/>
  <c r="I669" i="1" s="1"/>
  <c r="K669" i="1"/>
  <c r="J669" i="1" s="1"/>
  <c r="L594" i="1"/>
  <c r="I594" i="1" s="1"/>
  <c r="K594" i="1"/>
  <c r="J594" i="1" s="1"/>
  <c r="M594" i="1"/>
  <c r="H594" i="1" s="1"/>
  <c r="M624" i="1"/>
  <c r="H624" i="1" s="1"/>
  <c r="K624" i="1"/>
  <c r="J624" i="1" s="1"/>
  <c r="L624" i="1"/>
  <c r="I624" i="1" s="1"/>
  <c r="M655" i="1"/>
  <c r="H655" i="1" s="1"/>
  <c r="L655" i="1"/>
  <c r="I655" i="1" s="1"/>
  <c r="K655" i="1"/>
  <c r="J655" i="1" s="1"/>
  <c r="K609" i="1"/>
  <c r="J609" i="1" s="1"/>
  <c r="M609" i="1"/>
  <c r="H609" i="1" s="1"/>
  <c r="L609" i="1"/>
  <c r="I609" i="1" s="1"/>
  <c r="K645" i="1"/>
  <c r="J645" i="1" s="1"/>
  <c r="M645" i="1"/>
  <c r="H645" i="1" s="1"/>
  <c r="L645" i="1"/>
  <c r="I645" i="1" s="1"/>
  <c r="M635" i="1"/>
  <c r="H635" i="1" s="1"/>
  <c r="L635" i="1"/>
  <c r="I635" i="1" s="1"/>
  <c r="K635" i="1"/>
  <c r="J635" i="1" s="1"/>
  <c r="L610" i="1"/>
  <c r="I610" i="1" s="1"/>
  <c r="K610" i="1"/>
  <c r="J610" i="1" s="1"/>
  <c r="M610" i="1"/>
  <c r="H610" i="1" s="1"/>
  <c r="L455" i="1"/>
  <c r="I455" i="1" s="1"/>
  <c r="K455" i="1"/>
  <c r="J455" i="1" s="1"/>
  <c r="M455" i="1"/>
  <c r="H455" i="1" s="1"/>
  <c r="L484" i="1"/>
  <c r="I484" i="1" s="1"/>
  <c r="K484" i="1"/>
  <c r="J484" i="1" s="1"/>
  <c r="M484" i="1"/>
  <c r="H484" i="1" s="1"/>
  <c r="M495" i="1"/>
  <c r="H495" i="1" s="1"/>
  <c r="L495" i="1"/>
  <c r="I495" i="1" s="1"/>
  <c r="K495" i="1"/>
  <c r="J495" i="1" s="1"/>
  <c r="M485" i="1"/>
  <c r="H485" i="1" s="1"/>
  <c r="L485" i="1"/>
  <c r="I485" i="1" s="1"/>
  <c r="K485" i="1"/>
  <c r="J485" i="1" s="1"/>
  <c r="M504" i="1"/>
  <c r="H504" i="1" s="1"/>
  <c r="K504" i="1"/>
  <c r="J504" i="1" s="1"/>
  <c r="L504" i="1"/>
  <c r="I504" i="1" s="1"/>
  <c r="M465" i="1"/>
  <c r="H465" i="1" s="1"/>
  <c r="K465" i="1"/>
  <c r="J465" i="1" s="1"/>
  <c r="L465" i="1"/>
  <c r="I465" i="1" s="1"/>
  <c r="M464" i="1"/>
  <c r="H464" i="1" s="1"/>
  <c r="L464" i="1"/>
  <c r="I464" i="1" s="1"/>
  <c r="K464" i="1"/>
  <c r="J464" i="1" s="1"/>
  <c r="L454" i="1"/>
  <c r="I454" i="1" s="1"/>
  <c r="M454" i="1"/>
  <c r="H454" i="1" s="1"/>
  <c r="K454" i="1"/>
  <c r="J454" i="1" s="1"/>
  <c r="M444" i="1"/>
  <c r="H444" i="1" s="1"/>
  <c r="K444" i="1"/>
  <c r="J444" i="1" s="1"/>
  <c r="L444" i="1"/>
  <c r="I444" i="1" s="1"/>
  <c r="M505" i="1"/>
  <c r="H505" i="1" s="1"/>
  <c r="L505" i="1"/>
  <c r="I505" i="1" s="1"/>
  <c r="K505" i="1"/>
  <c r="J505" i="1" s="1"/>
  <c r="M474" i="1"/>
  <c r="H474" i="1" s="1"/>
  <c r="L474" i="1"/>
  <c r="I474" i="1" s="1"/>
  <c r="K474" i="1"/>
  <c r="J474" i="1" s="1"/>
  <c r="M475" i="1"/>
  <c r="H475" i="1" s="1"/>
  <c r="L475" i="1"/>
  <c r="I475" i="1" s="1"/>
  <c r="K475" i="1"/>
  <c r="J475" i="1" s="1"/>
  <c r="K445" i="1"/>
  <c r="J445" i="1" s="1"/>
  <c r="L445" i="1"/>
  <c r="I445" i="1" s="1"/>
  <c r="M445" i="1"/>
  <c r="H445" i="1" s="1"/>
  <c r="M494" i="1"/>
  <c r="H494" i="1" s="1"/>
  <c r="K494" i="1"/>
  <c r="J494" i="1" s="1"/>
  <c r="L494" i="1"/>
  <c r="I494" i="1" s="1"/>
  <c r="K362" i="1"/>
  <c r="J362" i="1" s="1"/>
  <c r="M362" i="1"/>
  <c r="H362" i="1" s="1"/>
  <c r="L362" i="1"/>
  <c r="I362" i="1" s="1"/>
  <c r="K363" i="1"/>
  <c r="J363" i="1" s="1"/>
  <c r="M363" i="1"/>
  <c r="H363" i="1" s="1"/>
  <c r="L363" i="1"/>
  <c r="I363" i="1" s="1"/>
  <c r="K359" i="1"/>
  <c r="J359" i="1" s="1"/>
  <c r="M359" i="1"/>
  <c r="H359" i="1" s="1"/>
  <c r="L359" i="1"/>
  <c r="I359" i="1" s="1"/>
  <c r="M354" i="1"/>
  <c r="H354" i="1" s="1"/>
  <c r="L354" i="1"/>
  <c r="I354" i="1" s="1"/>
  <c r="K354" i="1"/>
  <c r="J354" i="1" s="1"/>
  <c r="M350" i="1"/>
  <c r="H350" i="1" s="1"/>
  <c r="L350" i="1"/>
  <c r="I350" i="1" s="1"/>
  <c r="K350" i="1"/>
  <c r="J350" i="1" s="1"/>
  <c r="K358" i="1"/>
  <c r="J358" i="1" s="1"/>
  <c r="M358" i="1"/>
  <c r="H358" i="1" s="1"/>
  <c r="L358" i="1"/>
  <c r="I358" i="1" s="1"/>
  <c r="M355" i="1"/>
  <c r="H355" i="1" s="1"/>
  <c r="L355" i="1"/>
  <c r="I355" i="1" s="1"/>
  <c r="K355" i="1"/>
  <c r="J355" i="1" s="1"/>
  <c r="M351" i="1"/>
  <c r="H351" i="1" s="1"/>
  <c r="L351" i="1"/>
  <c r="I351" i="1" s="1"/>
  <c r="K351" i="1"/>
  <c r="J351" i="1" s="1"/>
  <c r="K346" i="1"/>
  <c r="J346" i="1" s="1"/>
  <c r="M346" i="1"/>
  <c r="H346" i="1" s="1"/>
  <c r="L346" i="1"/>
  <c r="I346" i="1" s="1"/>
  <c r="M370" i="1"/>
  <c r="H370" i="1" s="1"/>
  <c r="L370" i="1"/>
  <c r="I370" i="1" s="1"/>
  <c r="K370" i="1"/>
  <c r="J370" i="1" s="1"/>
  <c r="M366" i="1"/>
  <c r="H366" i="1" s="1"/>
  <c r="L366" i="1"/>
  <c r="I366" i="1" s="1"/>
  <c r="K366" i="1"/>
  <c r="J366" i="1" s="1"/>
  <c r="K347" i="1"/>
  <c r="J347" i="1" s="1"/>
  <c r="M347" i="1"/>
  <c r="H347" i="1" s="1"/>
  <c r="L347" i="1"/>
  <c r="I347" i="1" s="1"/>
  <c r="M371" i="1"/>
  <c r="H371" i="1" s="1"/>
  <c r="L371" i="1"/>
  <c r="I371" i="1" s="1"/>
  <c r="K371" i="1"/>
  <c r="J371" i="1" s="1"/>
  <c r="M367" i="1"/>
  <c r="H367" i="1" s="1"/>
  <c r="L367" i="1"/>
  <c r="I367" i="1" s="1"/>
  <c r="K367" i="1"/>
  <c r="J367" i="1" s="1"/>
  <c r="M293" i="1"/>
  <c r="H293" i="1" s="1"/>
  <c r="K293" i="1"/>
  <c r="J293" i="1" s="1"/>
  <c r="L293" i="1"/>
  <c r="I293" i="1" s="1"/>
  <c r="M298" i="1"/>
  <c r="H298" i="1" s="1"/>
  <c r="K298" i="1"/>
  <c r="J298" i="1" s="1"/>
  <c r="L298" i="1"/>
  <c r="I298" i="1" s="1"/>
  <c r="M303" i="1"/>
  <c r="H303" i="1" s="1"/>
  <c r="K303" i="1"/>
  <c r="J303" i="1" s="1"/>
  <c r="L303" i="1"/>
  <c r="I303" i="1" s="1"/>
  <c r="M308" i="1"/>
  <c r="H308" i="1" s="1"/>
  <c r="L308" i="1"/>
  <c r="I308" i="1" s="1"/>
  <c r="K308" i="1"/>
  <c r="J308" i="1" s="1"/>
  <c r="M313" i="1"/>
  <c r="H313" i="1" s="1"/>
  <c r="L313" i="1"/>
  <c r="I313" i="1" s="1"/>
  <c r="K313" i="1"/>
  <c r="J313" i="1" s="1"/>
  <c r="L258" i="1"/>
  <c r="I258" i="1" s="1"/>
  <c r="K258" i="1"/>
  <c r="J258" i="1" s="1"/>
  <c r="M258" i="1"/>
  <c r="H258" i="1" s="1"/>
  <c r="M260" i="1"/>
  <c r="H260" i="1" s="1"/>
  <c r="L260" i="1"/>
  <c r="I260" i="1" s="1"/>
  <c r="K260" i="1"/>
  <c r="J260" i="1" s="1"/>
  <c r="M264" i="1"/>
  <c r="H264" i="1" s="1"/>
  <c r="L264" i="1"/>
  <c r="I264" i="1" s="1"/>
  <c r="K264" i="1"/>
  <c r="J264" i="1" s="1"/>
  <c r="M266" i="1"/>
  <c r="H266" i="1" s="1"/>
  <c r="L266" i="1"/>
  <c r="I266" i="1" s="1"/>
  <c r="K266" i="1"/>
  <c r="J266" i="1" s="1"/>
  <c r="M262" i="1"/>
  <c r="H262" i="1" s="1"/>
  <c r="L262" i="1"/>
  <c r="I262" i="1" s="1"/>
  <c r="K262" i="1"/>
  <c r="J262" i="1" s="1"/>
  <c r="M233" i="1"/>
  <c r="H233" i="1" s="1"/>
  <c r="L233" i="1"/>
  <c r="I233" i="1" s="1"/>
  <c r="K233" i="1"/>
  <c r="J233" i="1" s="1"/>
  <c r="M239" i="1"/>
  <c r="H239" i="1" s="1"/>
  <c r="L239" i="1"/>
  <c r="I239" i="1" s="1"/>
  <c r="K239" i="1"/>
  <c r="J239" i="1" s="1"/>
  <c r="L236" i="1"/>
  <c r="I236" i="1" s="1"/>
  <c r="M236" i="1"/>
  <c r="H236" i="1" s="1"/>
  <c r="K236" i="1"/>
  <c r="J236" i="1" s="1"/>
  <c r="L242" i="1"/>
  <c r="I242" i="1" s="1"/>
  <c r="M242" i="1"/>
  <c r="H242" i="1" s="1"/>
  <c r="K242" i="1"/>
  <c r="J242" i="1" s="1"/>
  <c r="L227" i="1"/>
  <c r="I227" i="1" s="1"/>
  <c r="K227" i="1"/>
  <c r="J227" i="1" s="1"/>
  <c r="M227" i="1"/>
  <c r="H227" i="1" s="1"/>
  <c r="L230" i="1"/>
  <c r="I230" i="1" s="1"/>
  <c r="M230" i="1"/>
  <c r="H230" i="1" s="1"/>
  <c r="K230" i="1"/>
  <c r="J230" i="1" s="1"/>
  <c r="M245" i="1"/>
  <c r="H245" i="1" s="1"/>
  <c r="L245" i="1"/>
  <c r="I245" i="1" s="1"/>
  <c r="K245" i="1"/>
  <c r="J245" i="1" s="1"/>
  <c r="M174" i="1"/>
  <c r="H174" i="1" s="1"/>
  <c r="L174" i="1"/>
  <c r="I174" i="1" s="1"/>
  <c r="K174" i="1"/>
  <c r="J174" i="1" s="1"/>
  <c r="M178" i="1"/>
  <c r="H178" i="1" s="1"/>
  <c r="K178" i="1"/>
  <c r="J178" i="1" s="1"/>
  <c r="L178" i="1"/>
  <c r="I178" i="1" s="1"/>
  <c r="M194" i="1"/>
  <c r="H194" i="1" s="1"/>
  <c r="L194" i="1"/>
  <c r="I194" i="1" s="1"/>
  <c r="K194" i="1"/>
  <c r="J194" i="1" s="1"/>
  <c r="M199" i="1"/>
  <c r="H199" i="1" s="1"/>
  <c r="L199" i="1"/>
  <c r="I199" i="1" s="1"/>
  <c r="K199" i="1"/>
  <c r="J199" i="1" s="1"/>
  <c r="M195" i="1"/>
  <c r="H195" i="1" s="1"/>
  <c r="L195" i="1"/>
  <c r="I195" i="1" s="1"/>
  <c r="K195" i="1"/>
  <c r="J195" i="1" s="1"/>
  <c r="M171" i="1"/>
  <c r="H171" i="1" s="1"/>
  <c r="K171" i="1"/>
  <c r="J171" i="1" s="1"/>
  <c r="L171" i="1"/>
  <c r="I171" i="1" s="1"/>
  <c r="L187" i="1"/>
  <c r="I187" i="1" s="1"/>
  <c r="K187" i="1"/>
  <c r="J187" i="1" s="1"/>
  <c r="M187" i="1"/>
  <c r="H187" i="1" s="1"/>
  <c r="M167" i="1"/>
  <c r="H167" i="1" s="1"/>
  <c r="K167" i="1"/>
  <c r="J167" i="1" s="1"/>
  <c r="L167" i="1"/>
  <c r="I167" i="1" s="1"/>
  <c r="M183" i="1"/>
  <c r="H183" i="1" s="1"/>
  <c r="L183" i="1"/>
  <c r="I183" i="1" s="1"/>
  <c r="K183" i="1"/>
  <c r="J183" i="1" s="1"/>
  <c r="M166" i="1"/>
  <c r="H166" i="1" s="1"/>
  <c r="L166" i="1"/>
  <c r="I166" i="1" s="1"/>
  <c r="K166" i="1"/>
  <c r="J166" i="1" s="1"/>
  <c r="M202" i="1"/>
  <c r="H202" i="1" s="1"/>
  <c r="L202" i="1"/>
  <c r="I202" i="1" s="1"/>
  <c r="K202" i="1"/>
  <c r="J202" i="1" s="1"/>
  <c r="L190" i="1"/>
  <c r="I190" i="1" s="1"/>
  <c r="K190" i="1"/>
  <c r="J190" i="1" s="1"/>
  <c r="M190" i="1"/>
  <c r="H190" i="1" s="1"/>
  <c r="M198" i="1"/>
  <c r="H198" i="1" s="1"/>
  <c r="L198" i="1"/>
  <c r="I198" i="1" s="1"/>
  <c r="K198" i="1"/>
  <c r="J198" i="1" s="1"/>
  <c r="L179" i="1"/>
  <c r="I179" i="1" s="1"/>
  <c r="K179" i="1"/>
  <c r="J179" i="1" s="1"/>
  <c r="M179" i="1"/>
  <c r="H179" i="1" s="1"/>
  <c r="M170" i="1"/>
  <c r="H170" i="1" s="1"/>
  <c r="K170" i="1"/>
  <c r="J170" i="1" s="1"/>
  <c r="L170" i="1"/>
  <c r="I170" i="1" s="1"/>
  <c r="M186" i="1"/>
  <c r="H186" i="1" s="1"/>
  <c r="L186" i="1"/>
  <c r="I186" i="1" s="1"/>
  <c r="K186" i="1"/>
  <c r="J186" i="1" s="1"/>
  <c r="M203" i="1"/>
  <c r="H203" i="1" s="1"/>
  <c r="K203" i="1"/>
  <c r="J203" i="1" s="1"/>
  <c r="L203" i="1"/>
  <c r="I203" i="1" s="1"/>
  <c r="M182" i="1"/>
  <c r="H182" i="1" s="1"/>
  <c r="L182" i="1"/>
  <c r="I182" i="1" s="1"/>
  <c r="K182" i="1"/>
  <c r="J182" i="1" s="1"/>
  <c r="M175" i="1"/>
  <c r="H175" i="1" s="1"/>
  <c r="K175" i="1"/>
  <c r="J175" i="1" s="1"/>
  <c r="L175" i="1"/>
  <c r="I175" i="1" s="1"/>
  <c r="M191" i="1"/>
  <c r="H191" i="1" s="1"/>
  <c r="L191" i="1"/>
  <c r="I191" i="1" s="1"/>
  <c r="K191" i="1"/>
  <c r="J191" i="1" s="1"/>
  <c r="M106" i="1"/>
  <c r="H106" i="1" s="1"/>
  <c r="K106" i="1"/>
  <c r="J106" i="1" s="1"/>
  <c r="L106" i="1"/>
  <c r="I106" i="1" s="1"/>
  <c r="L108" i="1"/>
  <c r="I108" i="1" s="1"/>
  <c r="K108" i="1"/>
  <c r="J108" i="1" s="1"/>
  <c r="M108" i="1"/>
  <c r="H108" i="1" s="1"/>
  <c r="K95" i="1"/>
  <c r="J95" i="1" s="1"/>
  <c r="M95" i="1"/>
  <c r="H95" i="1" s="1"/>
  <c r="L95" i="1"/>
  <c r="I95" i="1" s="1"/>
  <c r="M87" i="1"/>
  <c r="H87" i="1" s="1"/>
  <c r="K87" i="1"/>
  <c r="J87" i="1" s="1"/>
  <c r="L87" i="1"/>
  <c r="I87" i="1" s="1"/>
  <c r="M86" i="1"/>
  <c r="H86" i="1" s="1"/>
  <c r="L86" i="1"/>
  <c r="I86" i="1" s="1"/>
  <c r="K86" i="1"/>
  <c r="J86" i="1" s="1"/>
  <c r="K91" i="1"/>
  <c r="J91" i="1" s="1"/>
  <c r="M91" i="1"/>
  <c r="H91" i="1" s="1"/>
  <c r="L91" i="1"/>
  <c r="I91" i="1" s="1"/>
  <c r="M90" i="1"/>
  <c r="H90" i="1" s="1"/>
  <c r="L90" i="1"/>
  <c r="I90" i="1" s="1"/>
  <c r="K90" i="1"/>
  <c r="J90" i="1" s="1"/>
  <c r="M99" i="1"/>
  <c r="H99" i="1" s="1"/>
  <c r="L99" i="1"/>
  <c r="I99" i="1" s="1"/>
  <c r="K99" i="1"/>
  <c r="J99" i="1" s="1"/>
  <c r="M84" i="1"/>
  <c r="H84" i="1" s="1"/>
  <c r="L84" i="1"/>
  <c r="I84" i="1" s="1"/>
  <c r="K84" i="1"/>
  <c r="J84" i="1" s="1"/>
  <c r="K98" i="1"/>
  <c r="J98" i="1" s="1"/>
  <c r="M98" i="1"/>
  <c r="H98" i="1" s="1"/>
  <c r="L98" i="1"/>
  <c r="I98" i="1" s="1"/>
  <c r="K94" i="1"/>
  <c r="J94" i="1" s="1"/>
  <c r="M94" i="1"/>
  <c r="H94" i="1" s="1"/>
  <c r="L94" i="1"/>
  <c r="I94" i="1" s="1"/>
  <c r="M103" i="1"/>
  <c r="H103" i="1" s="1"/>
  <c r="L103" i="1"/>
  <c r="I103" i="1" s="1"/>
  <c r="K103" i="1"/>
  <c r="J103" i="1" s="1"/>
  <c r="M102" i="1"/>
  <c r="H102" i="1" s="1"/>
  <c r="L102" i="1"/>
  <c r="I102" i="1" s="1"/>
  <c r="K102" i="1"/>
  <c r="J102" i="1" s="1"/>
  <c r="L82" i="1"/>
  <c r="I82" i="1" s="1"/>
  <c r="M82" i="1"/>
  <c r="H82" i="1" s="1"/>
  <c r="K82" i="1"/>
  <c r="J82" i="1" s="1"/>
  <c r="L80" i="1"/>
  <c r="I80" i="1" s="1"/>
  <c r="K80" i="1"/>
  <c r="J80" i="1" s="1"/>
  <c r="M80" i="1"/>
  <c r="H80" i="1" s="1"/>
  <c r="K41" i="1"/>
  <c r="J41" i="1" s="1"/>
  <c r="L41" i="1"/>
  <c r="I41" i="1" s="1"/>
  <c r="M41" i="1"/>
  <c r="H41" i="1" s="1"/>
  <c r="K31" i="1"/>
  <c r="J31" i="1" s="1"/>
  <c r="M31" i="1"/>
  <c r="H31" i="1" s="1"/>
  <c r="L31" i="1"/>
  <c r="I31" i="1" s="1"/>
  <c r="M40" i="1"/>
  <c r="H40" i="1" s="1"/>
  <c r="L40" i="1"/>
  <c r="I40" i="1" s="1"/>
  <c r="K40" i="1"/>
  <c r="J40" i="1" s="1"/>
  <c r="L47" i="1"/>
  <c r="I47" i="1" s="1"/>
  <c r="K47" i="1"/>
  <c r="J47" i="1" s="1"/>
  <c r="M47" i="1"/>
  <c r="H47" i="1" s="1"/>
  <c r="M36" i="1"/>
  <c r="H36" i="1" s="1"/>
  <c r="K36" i="1"/>
  <c r="J36" i="1" s="1"/>
  <c r="L36" i="1"/>
  <c r="I36" i="1" s="1"/>
  <c r="K30" i="1"/>
  <c r="J30" i="1" s="1"/>
  <c r="M30" i="1"/>
  <c r="H30" i="1" s="1"/>
  <c r="L30" i="1"/>
  <c r="I30" i="1" s="1"/>
  <c r="K42" i="1"/>
  <c r="J42" i="1" s="1"/>
  <c r="M42" i="1"/>
  <c r="H42" i="1" s="1"/>
  <c r="L42" i="1"/>
  <c r="I42" i="1" s="1"/>
  <c r="M46" i="1"/>
  <c r="H46" i="1" s="1"/>
  <c r="L46" i="1"/>
  <c r="I46" i="1" s="1"/>
  <c r="K46" i="1"/>
  <c r="J46" i="1" s="1"/>
  <c r="M53" i="1"/>
  <c r="H53" i="1" s="1"/>
  <c r="L53" i="1"/>
  <c r="I53" i="1" s="1"/>
  <c r="K53" i="1"/>
  <c r="J53" i="1" s="1"/>
  <c r="L48" i="1"/>
  <c r="I48" i="1" s="1"/>
  <c r="K48" i="1"/>
  <c r="J48" i="1" s="1"/>
  <c r="M48" i="1"/>
  <c r="H48" i="1" s="1"/>
  <c r="M52" i="1"/>
  <c r="H52" i="1" s="1"/>
  <c r="L52" i="1"/>
  <c r="I52" i="1" s="1"/>
  <c r="K52" i="1"/>
  <c r="J52" i="1" s="1"/>
  <c r="K35" i="1"/>
  <c r="J35" i="1" s="1"/>
  <c r="M35" i="1"/>
  <c r="H35" i="1" s="1"/>
  <c r="L35" i="1"/>
  <c r="I35" i="1" s="1"/>
  <c r="L34" i="1"/>
  <c r="I34" i="1" s="1"/>
  <c r="M34" i="1"/>
  <c r="H34" i="1" s="1"/>
  <c r="K34" i="1"/>
  <c r="J34" i="1" s="1"/>
  <c r="K54" i="1"/>
  <c r="J54" i="1" s="1"/>
  <c r="M54" i="1"/>
  <c r="H54" i="1" s="1"/>
  <c r="L54" i="1"/>
  <c r="I54" i="1" s="1"/>
  <c r="L60" i="1"/>
  <c r="I60" i="1" s="1"/>
  <c r="M692" i="1"/>
  <c r="H692" i="1" s="1"/>
  <c r="K692" i="1"/>
  <c r="J692" i="1" s="1"/>
  <c r="L692" i="1"/>
  <c r="I692" i="1" s="1"/>
  <c r="L694" i="1"/>
  <c r="I694" i="1" s="1"/>
  <c r="M694" i="1"/>
  <c r="H694" i="1" s="1"/>
  <c r="K694" i="1"/>
  <c r="J694" i="1" s="1"/>
  <c r="L693" i="1"/>
  <c r="I693" i="1" s="1"/>
  <c r="M693" i="1"/>
  <c r="H693" i="1" s="1"/>
  <c r="K693" i="1"/>
  <c r="J693" i="1" s="1"/>
  <c r="N424" i="1"/>
  <c r="G424" i="1" s="1"/>
  <c r="N154" i="1"/>
  <c r="G154" i="1" s="1"/>
  <c r="N206" i="1"/>
  <c r="G206" i="1" s="1"/>
  <c r="T337" i="1"/>
  <c r="T335" i="1"/>
  <c r="T336" i="1"/>
  <c r="N221" i="1"/>
  <c r="G221" i="1" s="1"/>
  <c r="N415" i="1"/>
  <c r="G415" i="1" s="1"/>
  <c r="N155" i="1"/>
  <c r="G155" i="1" s="1"/>
  <c r="N335" i="1"/>
  <c r="G335" i="1" s="1"/>
  <c r="N338" i="1"/>
  <c r="G338" i="1" s="1"/>
  <c r="N584" i="1"/>
  <c r="G584" i="1" s="1"/>
  <c r="N151" i="1"/>
  <c r="G151" i="1" s="1"/>
  <c r="T338" i="1"/>
  <c r="M12" i="1"/>
  <c r="H12" i="1" s="1"/>
  <c r="M69" i="1"/>
  <c r="H69" i="1" s="1"/>
  <c r="M72" i="1"/>
  <c r="H72" i="1" s="1"/>
  <c r="K564" i="1"/>
  <c r="J564" i="1" s="1"/>
  <c r="L564" i="1"/>
  <c r="I564" i="1" s="1"/>
  <c r="M564" i="1"/>
  <c r="H564" i="1" s="1"/>
  <c r="K682" i="1"/>
  <c r="J682" i="1" s="1"/>
  <c r="L682" i="1"/>
  <c r="I682" i="1" s="1"/>
  <c r="M682" i="1"/>
  <c r="H682" i="1" s="1"/>
  <c r="K714" i="1"/>
  <c r="J714" i="1" s="1"/>
  <c r="L714" i="1"/>
  <c r="I714" i="1" s="1"/>
  <c r="M714" i="1"/>
  <c r="H714" i="1" s="1"/>
  <c r="K674" i="1"/>
  <c r="J674" i="1" s="1"/>
  <c r="L674" i="1"/>
  <c r="I674" i="1" s="1"/>
  <c r="M674" i="1"/>
  <c r="H674" i="1" s="1"/>
  <c r="K698" i="1"/>
  <c r="J698" i="1" s="1"/>
  <c r="L698" i="1"/>
  <c r="I698" i="1" s="1"/>
  <c r="M698" i="1"/>
  <c r="H698" i="1" s="1"/>
  <c r="L701" i="1"/>
  <c r="I701" i="1" s="1"/>
  <c r="K701" i="1"/>
  <c r="J701" i="1" s="1"/>
  <c r="M701" i="1"/>
  <c r="H701" i="1" s="1"/>
  <c r="K706" i="1"/>
  <c r="J706" i="1" s="1"/>
  <c r="L706" i="1"/>
  <c r="I706" i="1" s="1"/>
  <c r="M706" i="1"/>
  <c r="H706" i="1" s="1"/>
  <c r="K721" i="1"/>
  <c r="J721" i="1" s="1"/>
  <c r="L721" i="1"/>
  <c r="I721" i="1" s="1"/>
  <c r="M721" i="1"/>
  <c r="H721" i="1" s="1"/>
  <c r="L729" i="1"/>
  <c r="I729" i="1" s="1"/>
  <c r="K729" i="1"/>
  <c r="J729" i="1" s="1"/>
  <c r="M729" i="1"/>
  <c r="H729" i="1" s="1"/>
  <c r="L737" i="1"/>
  <c r="I737" i="1" s="1"/>
  <c r="M737" i="1"/>
  <c r="H737" i="1" s="1"/>
  <c r="K737" i="1"/>
  <c r="J737" i="1" s="1"/>
  <c r="L531" i="1"/>
  <c r="I531" i="1" s="1"/>
  <c r="K531" i="1"/>
  <c r="J531" i="1" s="1"/>
  <c r="M531" i="1"/>
  <c r="H531" i="1" s="1"/>
  <c r="K530" i="1"/>
  <c r="J530" i="1" s="1"/>
  <c r="L530" i="1"/>
  <c r="I530" i="1" s="1"/>
  <c r="M530" i="1"/>
  <c r="H530" i="1" s="1"/>
  <c r="K554" i="1"/>
  <c r="J554" i="1" s="1"/>
  <c r="L554" i="1"/>
  <c r="I554" i="1" s="1"/>
  <c r="M554" i="1"/>
  <c r="H554" i="1" s="1"/>
  <c r="K700" i="1"/>
  <c r="J700" i="1" s="1"/>
  <c r="L700" i="1"/>
  <c r="I700" i="1" s="1"/>
  <c r="M700" i="1"/>
  <c r="H700" i="1" s="1"/>
  <c r="K716" i="1"/>
  <c r="J716" i="1" s="1"/>
  <c r="L716" i="1"/>
  <c r="I716" i="1" s="1"/>
  <c r="M716" i="1"/>
  <c r="H716" i="1" s="1"/>
  <c r="L731" i="1"/>
  <c r="I731" i="1" s="1"/>
  <c r="M731" i="1"/>
  <c r="H731" i="1" s="1"/>
  <c r="K731" i="1"/>
  <c r="J731" i="1" s="1"/>
  <c r="K675" i="1"/>
  <c r="J675" i="1" s="1"/>
  <c r="L675" i="1"/>
  <c r="I675" i="1" s="1"/>
  <c r="M675" i="1"/>
  <c r="H675" i="1" s="1"/>
  <c r="K678" i="1"/>
  <c r="J678" i="1" s="1"/>
  <c r="L678" i="1"/>
  <c r="I678" i="1" s="1"/>
  <c r="M678" i="1"/>
  <c r="H678" i="1" s="1"/>
  <c r="L723" i="1"/>
  <c r="I723" i="1" s="1"/>
  <c r="K723" i="1"/>
  <c r="J723" i="1" s="1"/>
  <c r="M723" i="1"/>
  <c r="H723" i="1" s="1"/>
  <c r="K514" i="1"/>
  <c r="J514" i="1" s="1"/>
  <c r="L514" i="1"/>
  <c r="I514" i="1" s="1"/>
  <c r="M514" i="1"/>
  <c r="H514" i="1" s="1"/>
  <c r="K589" i="1"/>
  <c r="J589" i="1" s="1"/>
  <c r="L589" i="1"/>
  <c r="I589" i="1" s="1"/>
  <c r="M589" i="1"/>
  <c r="H589" i="1" s="1"/>
  <c r="K687" i="1"/>
  <c r="J687" i="1" s="1"/>
  <c r="L687" i="1"/>
  <c r="I687" i="1" s="1"/>
  <c r="M687" i="1"/>
  <c r="H687" i="1" s="1"/>
  <c r="K708" i="1"/>
  <c r="J708" i="1" s="1"/>
  <c r="L708" i="1"/>
  <c r="I708" i="1" s="1"/>
  <c r="M708" i="1"/>
  <c r="H708" i="1" s="1"/>
  <c r="K516" i="1"/>
  <c r="J516" i="1" s="1"/>
  <c r="L516" i="1"/>
  <c r="I516" i="1" s="1"/>
  <c r="M516" i="1"/>
  <c r="H516" i="1" s="1"/>
  <c r="K529" i="1"/>
  <c r="J529" i="1" s="1"/>
  <c r="M529" i="1"/>
  <c r="H529" i="1" s="1"/>
  <c r="L529" i="1"/>
  <c r="I529" i="1" s="1"/>
  <c r="M575" i="1"/>
  <c r="H575" i="1" s="1"/>
  <c r="K575" i="1"/>
  <c r="J575" i="1" s="1"/>
  <c r="L575" i="1"/>
  <c r="I575" i="1" s="1"/>
  <c r="K435" i="1"/>
  <c r="J435" i="1" s="1"/>
  <c r="L435" i="1"/>
  <c r="I435" i="1" s="1"/>
  <c r="M435" i="1"/>
  <c r="H435" i="1" s="1"/>
  <c r="M515" i="1"/>
  <c r="H515" i="1" s="1"/>
  <c r="K515" i="1"/>
  <c r="J515" i="1" s="1"/>
  <c r="L515" i="1"/>
  <c r="I515" i="1" s="1"/>
  <c r="K715" i="1"/>
  <c r="J715" i="1" s="1"/>
  <c r="M715" i="1"/>
  <c r="H715" i="1" s="1"/>
  <c r="L715" i="1"/>
  <c r="I715" i="1" s="1"/>
  <c r="K720" i="1"/>
  <c r="J720" i="1" s="1"/>
  <c r="L720" i="1"/>
  <c r="I720" i="1" s="1"/>
  <c r="M720" i="1"/>
  <c r="H720" i="1" s="1"/>
  <c r="K545" i="1"/>
  <c r="J545" i="1" s="1"/>
  <c r="L545" i="1"/>
  <c r="I545" i="1" s="1"/>
  <c r="M545" i="1"/>
  <c r="H545" i="1" s="1"/>
  <c r="K584" i="1"/>
  <c r="J584" i="1" s="1"/>
  <c r="L584" i="1"/>
  <c r="I584" i="1" s="1"/>
  <c r="M584" i="1"/>
  <c r="H584" i="1" s="1"/>
  <c r="K555" i="1"/>
  <c r="J555" i="1" s="1"/>
  <c r="L555" i="1"/>
  <c r="I555" i="1" s="1"/>
  <c r="M555" i="1"/>
  <c r="H555" i="1" s="1"/>
  <c r="K565" i="1"/>
  <c r="J565" i="1" s="1"/>
  <c r="L565" i="1"/>
  <c r="I565" i="1" s="1"/>
  <c r="M565" i="1"/>
  <c r="H565" i="1" s="1"/>
  <c r="K574" i="1"/>
  <c r="J574" i="1" s="1"/>
  <c r="L574" i="1"/>
  <c r="I574" i="1" s="1"/>
  <c r="M574" i="1"/>
  <c r="H574" i="1" s="1"/>
  <c r="K679" i="1"/>
  <c r="J679" i="1" s="1"/>
  <c r="M679" i="1"/>
  <c r="H679" i="1" s="1"/>
  <c r="L679" i="1"/>
  <c r="I679" i="1" s="1"/>
  <c r="K688" i="1"/>
  <c r="J688" i="1" s="1"/>
  <c r="L688" i="1"/>
  <c r="I688" i="1" s="1"/>
  <c r="M688" i="1"/>
  <c r="H688" i="1" s="1"/>
  <c r="K699" i="1"/>
  <c r="J699" i="1" s="1"/>
  <c r="M699" i="1"/>
  <c r="H699" i="1" s="1"/>
  <c r="L699" i="1"/>
  <c r="I699" i="1" s="1"/>
  <c r="L707" i="1"/>
  <c r="I707" i="1" s="1"/>
  <c r="K707" i="1"/>
  <c r="J707" i="1" s="1"/>
  <c r="M707" i="1"/>
  <c r="H707" i="1" s="1"/>
  <c r="K738" i="1"/>
  <c r="J738" i="1" s="1"/>
  <c r="L738" i="1"/>
  <c r="I738" i="1" s="1"/>
  <c r="M738" i="1"/>
  <c r="H738" i="1" s="1"/>
  <c r="K728" i="1"/>
  <c r="J728" i="1" s="1"/>
  <c r="L728" i="1"/>
  <c r="I728" i="1" s="1"/>
  <c r="M728" i="1"/>
  <c r="H728" i="1" s="1"/>
  <c r="K736" i="1"/>
  <c r="J736" i="1" s="1"/>
  <c r="L736" i="1"/>
  <c r="I736" i="1" s="1"/>
  <c r="M736" i="1"/>
  <c r="H736" i="1" s="1"/>
  <c r="K434" i="1"/>
  <c r="J434" i="1" s="1"/>
  <c r="L434" i="1"/>
  <c r="I434" i="1" s="1"/>
  <c r="M434" i="1"/>
  <c r="H434" i="1" s="1"/>
  <c r="K544" i="1"/>
  <c r="J544" i="1" s="1"/>
  <c r="L544" i="1"/>
  <c r="I544" i="1" s="1"/>
  <c r="M544" i="1"/>
  <c r="H544" i="1" s="1"/>
  <c r="L683" i="1"/>
  <c r="I683" i="1" s="1"/>
  <c r="M683" i="1"/>
  <c r="H683" i="1" s="1"/>
  <c r="K683" i="1"/>
  <c r="J683" i="1" s="1"/>
  <c r="K686" i="1"/>
  <c r="J686" i="1" s="1"/>
  <c r="L686" i="1"/>
  <c r="I686" i="1" s="1"/>
  <c r="M686" i="1"/>
  <c r="H686" i="1" s="1"/>
  <c r="K709" i="1"/>
  <c r="J709" i="1" s="1"/>
  <c r="M709" i="1"/>
  <c r="H709" i="1" s="1"/>
  <c r="L709" i="1"/>
  <c r="I709" i="1" s="1"/>
  <c r="K722" i="1"/>
  <c r="J722" i="1" s="1"/>
  <c r="L722" i="1"/>
  <c r="I722" i="1" s="1"/>
  <c r="M722" i="1"/>
  <c r="H722" i="1" s="1"/>
  <c r="K730" i="1"/>
  <c r="J730" i="1" s="1"/>
  <c r="L730" i="1"/>
  <c r="I730" i="1" s="1"/>
  <c r="M730" i="1"/>
  <c r="H730" i="1" s="1"/>
  <c r="K146" i="1"/>
  <c r="J146" i="1" s="1"/>
  <c r="L146" i="1"/>
  <c r="I146" i="1" s="1"/>
  <c r="M146" i="1"/>
  <c r="H146" i="1" s="1"/>
  <c r="K147" i="1"/>
  <c r="J147" i="1" s="1"/>
  <c r="L147" i="1"/>
  <c r="I147" i="1" s="1"/>
  <c r="M147" i="1"/>
  <c r="H147" i="1" s="1"/>
  <c r="K283" i="1"/>
  <c r="J283" i="1" s="1"/>
  <c r="L283" i="1"/>
  <c r="I283" i="1" s="1"/>
  <c r="M283" i="1"/>
  <c r="H283" i="1" s="1"/>
  <c r="K318" i="1"/>
  <c r="J318" i="1" s="1"/>
  <c r="L318" i="1"/>
  <c r="I318" i="1" s="1"/>
  <c r="M318" i="1"/>
  <c r="H318" i="1" s="1"/>
  <c r="K323" i="1"/>
  <c r="J323" i="1" s="1"/>
  <c r="L323" i="1"/>
  <c r="I323" i="1" s="1"/>
  <c r="M323" i="1"/>
  <c r="H323" i="1" s="1"/>
  <c r="K338" i="1"/>
  <c r="J338" i="1" s="1"/>
  <c r="L338" i="1"/>
  <c r="I338" i="1" s="1"/>
  <c r="M338" i="1"/>
  <c r="H338" i="1" s="1"/>
  <c r="K127" i="1"/>
  <c r="J127" i="1" s="1"/>
  <c r="L127" i="1"/>
  <c r="I127" i="1" s="1"/>
  <c r="M127" i="1"/>
  <c r="H127" i="1" s="1"/>
  <c r="K135" i="1"/>
  <c r="J135" i="1" s="1"/>
  <c r="L135" i="1"/>
  <c r="I135" i="1" s="1"/>
  <c r="M135" i="1"/>
  <c r="H135" i="1" s="1"/>
  <c r="K134" i="1"/>
  <c r="J134" i="1" s="1"/>
  <c r="L134" i="1"/>
  <c r="I134" i="1" s="1"/>
  <c r="M134" i="1"/>
  <c r="H134" i="1" s="1"/>
  <c r="K151" i="1"/>
  <c r="J151" i="1" s="1"/>
  <c r="L151" i="1"/>
  <c r="I151" i="1" s="1"/>
  <c r="M151" i="1"/>
  <c r="H151" i="1" s="1"/>
  <c r="K215" i="1"/>
  <c r="J215" i="1" s="1"/>
  <c r="L215" i="1"/>
  <c r="I215" i="1" s="1"/>
  <c r="M215" i="1"/>
  <c r="H215" i="1" s="1"/>
  <c r="K221" i="1"/>
  <c r="J221" i="1" s="1"/>
  <c r="L221" i="1"/>
  <c r="I221" i="1" s="1"/>
  <c r="M221" i="1"/>
  <c r="H221" i="1" s="1"/>
  <c r="K224" i="1"/>
  <c r="J224" i="1" s="1"/>
  <c r="L224" i="1"/>
  <c r="I224" i="1" s="1"/>
  <c r="M224" i="1"/>
  <c r="H224" i="1" s="1"/>
  <c r="K256" i="1"/>
  <c r="J256" i="1" s="1"/>
  <c r="L256" i="1"/>
  <c r="I256" i="1" s="1"/>
  <c r="M256" i="1"/>
  <c r="H256" i="1" s="1"/>
  <c r="K273" i="1"/>
  <c r="J273" i="1" s="1"/>
  <c r="L273" i="1"/>
  <c r="I273" i="1" s="1"/>
  <c r="M273" i="1"/>
  <c r="H273" i="1" s="1"/>
  <c r="K278" i="1"/>
  <c r="J278" i="1" s="1"/>
  <c r="L278" i="1"/>
  <c r="I278" i="1" s="1"/>
  <c r="M278" i="1"/>
  <c r="H278" i="1" s="1"/>
  <c r="K322" i="1"/>
  <c r="J322" i="1" s="1"/>
  <c r="L322" i="1"/>
  <c r="I322" i="1" s="1"/>
  <c r="M322" i="1"/>
  <c r="H322" i="1" s="1"/>
  <c r="K326" i="1"/>
  <c r="J326" i="1" s="1"/>
  <c r="L326" i="1"/>
  <c r="I326" i="1" s="1"/>
  <c r="M326" i="1"/>
  <c r="H326" i="1" s="1"/>
  <c r="K394" i="1"/>
  <c r="J394" i="1" s="1"/>
  <c r="L394" i="1"/>
  <c r="I394" i="1" s="1"/>
  <c r="M394" i="1"/>
  <c r="H394" i="1" s="1"/>
  <c r="M425" i="1"/>
  <c r="H425" i="1" s="1"/>
  <c r="K425" i="1"/>
  <c r="J425" i="1" s="1"/>
  <c r="L425" i="1"/>
  <c r="I425" i="1" s="1"/>
  <c r="K218" i="1"/>
  <c r="J218" i="1" s="1"/>
  <c r="L218" i="1"/>
  <c r="I218" i="1" s="1"/>
  <c r="M218" i="1"/>
  <c r="H218" i="1" s="1"/>
  <c r="K331" i="1"/>
  <c r="J331" i="1" s="1"/>
  <c r="L331" i="1"/>
  <c r="I331" i="1" s="1"/>
  <c r="M331" i="1"/>
  <c r="H331" i="1" s="1"/>
  <c r="K384" i="1"/>
  <c r="J384" i="1" s="1"/>
  <c r="L384" i="1"/>
  <c r="I384" i="1" s="1"/>
  <c r="M384" i="1"/>
  <c r="H384" i="1" s="1"/>
  <c r="K155" i="1"/>
  <c r="J155" i="1" s="1"/>
  <c r="L155" i="1"/>
  <c r="I155" i="1" s="1"/>
  <c r="M155" i="1"/>
  <c r="H155" i="1" s="1"/>
  <c r="K138" i="1"/>
  <c r="J138" i="1" s="1"/>
  <c r="L138" i="1"/>
  <c r="I138" i="1" s="1"/>
  <c r="M138" i="1"/>
  <c r="H138" i="1" s="1"/>
  <c r="K143" i="1"/>
  <c r="J143" i="1" s="1"/>
  <c r="L143" i="1"/>
  <c r="I143" i="1" s="1"/>
  <c r="M143" i="1"/>
  <c r="H143" i="1" s="1"/>
  <c r="K268" i="1"/>
  <c r="J268" i="1" s="1"/>
  <c r="L268" i="1"/>
  <c r="I268" i="1" s="1"/>
  <c r="M268" i="1"/>
  <c r="H268" i="1" s="1"/>
  <c r="K342" i="1"/>
  <c r="J342" i="1" s="1"/>
  <c r="L342" i="1"/>
  <c r="I342" i="1" s="1"/>
  <c r="M342" i="1"/>
  <c r="H342" i="1" s="1"/>
  <c r="K385" i="1"/>
  <c r="J385" i="1" s="1"/>
  <c r="L385" i="1"/>
  <c r="I385" i="1" s="1"/>
  <c r="M385" i="1"/>
  <c r="H385" i="1" s="1"/>
  <c r="K395" i="1"/>
  <c r="J395" i="1" s="1"/>
  <c r="L395" i="1"/>
  <c r="I395" i="1" s="1"/>
  <c r="M395" i="1"/>
  <c r="H395" i="1" s="1"/>
  <c r="K335" i="1"/>
  <c r="J335" i="1" s="1"/>
  <c r="L335" i="1"/>
  <c r="I335" i="1" s="1"/>
  <c r="M335" i="1"/>
  <c r="H335" i="1" s="1"/>
  <c r="K424" i="1"/>
  <c r="J424" i="1" s="1"/>
  <c r="L424" i="1"/>
  <c r="I424" i="1" s="1"/>
  <c r="M424" i="1"/>
  <c r="H424" i="1" s="1"/>
  <c r="K126" i="1"/>
  <c r="J126" i="1" s="1"/>
  <c r="L126" i="1"/>
  <c r="I126" i="1" s="1"/>
  <c r="M126" i="1"/>
  <c r="H126" i="1" s="1"/>
  <c r="K327" i="1"/>
  <c r="J327" i="1" s="1"/>
  <c r="L327" i="1"/>
  <c r="I327" i="1" s="1"/>
  <c r="M327" i="1"/>
  <c r="H327" i="1" s="1"/>
  <c r="K131" i="1"/>
  <c r="J131" i="1" s="1"/>
  <c r="L131" i="1"/>
  <c r="I131" i="1" s="1"/>
  <c r="M131" i="1"/>
  <c r="H131" i="1" s="1"/>
  <c r="K254" i="1"/>
  <c r="J254" i="1" s="1"/>
  <c r="L254" i="1"/>
  <c r="I254" i="1" s="1"/>
  <c r="M254" i="1"/>
  <c r="H254" i="1" s="1"/>
  <c r="K405" i="1"/>
  <c r="J405" i="1" s="1"/>
  <c r="L405" i="1"/>
  <c r="I405" i="1" s="1"/>
  <c r="M405" i="1"/>
  <c r="H405" i="1" s="1"/>
  <c r="K414" i="1"/>
  <c r="J414" i="1" s="1"/>
  <c r="M414" i="1"/>
  <c r="H414" i="1" s="1"/>
  <c r="L414" i="1"/>
  <c r="I414" i="1" s="1"/>
  <c r="K142" i="1"/>
  <c r="J142" i="1" s="1"/>
  <c r="L142" i="1"/>
  <c r="I142" i="1" s="1"/>
  <c r="M142" i="1"/>
  <c r="H142" i="1" s="1"/>
  <c r="K154" i="1"/>
  <c r="J154" i="1" s="1"/>
  <c r="L154" i="1"/>
  <c r="I154" i="1" s="1"/>
  <c r="M154" i="1"/>
  <c r="H154" i="1" s="1"/>
  <c r="K206" i="1"/>
  <c r="J206" i="1" s="1"/>
  <c r="L206" i="1"/>
  <c r="I206" i="1" s="1"/>
  <c r="M206" i="1"/>
  <c r="H206" i="1" s="1"/>
  <c r="K209" i="1"/>
  <c r="J209" i="1" s="1"/>
  <c r="L209" i="1"/>
  <c r="I209" i="1" s="1"/>
  <c r="M209" i="1"/>
  <c r="H209" i="1" s="1"/>
  <c r="K252" i="1"/>
  <c r="J252" i="1" s="1"/>
  <c r="L252" i="1"/>
  <c r="I252" i="1" s="1"/>
  <c r="M252" i="1"/>
  <c r="H252" i="1" s="1"/>
  <c r="K319" i="1"/>
  <c r="J319" i="1" s="1"/>
  <c r="L319" i="1"/>
  <c r="I319" i="1" s="1"/>
  <c r="M319" i="1"/>
  <c r="H319" i="1" s="1"/>
  <c r="K339" i="1"/>
  <c r="J339" i="1" s="1"/>
  <c r="L339" i="1"/>
  <c r="I339" i="1" s="1"/>
  <c r="M339" i="1"/>
  <c r="H339" i="1" s="1"/>
  <c r="K374" i="1"/>
  <c r="J374" i="1" s="1"/>
  <c r="L374" i="1"/>
  <c r="I374" i="1" s="1"/>
  <c r="M374" i="1"/>
  <c r="H374" i="1" s="1"/>
  <c r="K404" i="1"/>
  <c r="J404" i="1" s="1"/>
  <c r="L404" i="1"/>
  <c r="I404" i="1" s="1"/>
  <c r="M404" i="1"/>
  <c r="H404" i="1" s="1"/>
  <c r="K150" i="1"/>
  <c r="J150" i="1" s="1"/>
  <c r="L150" i="1"/>
  <c r="I150" i="1" s="1"/>
  <c r="M150" i="1"/>
  <c r="H150" i="1" s="1"/>
  <c r="K330" i="1"/>
  <c r="J330" i="1" s="1"/>
  <c r="L330" i="1"/>
  <c r="I330" i="1" s="1"/>
  <c r="M330" i="1"/>
  <c r="H330" i="1" s="1"/>
  <c r="K415" i="1"/>
  <c r="J415" i="1" s="1"/>
  <c r="M415" i="1"/>
  <c r="H415" i="1" s="1"/>
  <c r="L415" i="1"/>
  <c r="I415" i="1" s="1"/>
  <c r="K139" i="1"/>
  <c r="J139" i="1" s="1"/>
  <c r="L139" i="1"/>
  <c r="I139" i="1" s="1"/>
  <c r="M139" i="1"/>
  <c r="H139" i="1" s="1"/>
  <c r="K248" i="1"/>
  <c r="J248" i="1" s="1"/>
  <c r="L248" i="1"/>
  <c r="I248" i="1" s="1"/>
  <c r="M248" i="1"/>
  <c r="H248" i="1" s="1"/>
  <c r="K250" i="1"/>
  <c r="J250" i="1" s="1"/>
  <c r="L250" i="1"/>
  <c r="I250" i="1" s="1"/>
  <c r="M250" i="1"/>
  <c r="H250" i="1" s="1"/>
  <c r="K130" i="1"/>
  <c r="J130" i="1" s="1"/>
  <c r="L130" i="1"/>
  <c r="I130" i="1" s="1"/>
  <c r="M130" i="1"/>
  <c r="H130" i="1" s="1"/>
  <c r="K212" i="1"/>
  <c r="J212" i="1" s="1"/>
  <c r="L212" i="1"/>
  <c r="I212" i="1" s="1"/>
  <c r="M212" i="1"/>
  <c r="H212" i="1" s="1"/>
  <c r="K288" i="1"/>
  <c r="J288" i="1" s="1"/>
  <c r="L288" i="1"/>
  <c r="I288" i="1" s="1"/>
  <c r="M288" i="1"/>
  <c r="H288" i="1" s="1"/>
  <c r="K334" i="1"/>
  <c r="J334" i="1" s="1"/>
  <c r="L334" i="1"/>
  <c r="I334" i="1" s="1"/>
  <c r="M334" i="1"/>
  <c r="H334" i="1" s="1"/>
  <c r="K343" i="1"/>
  <c r="J343" i="1" s="1"/>
  <c r="L343" i="1"/>
  <c r="I343" i="1" s="1"/>
  <c r="M343" i="1"/>
  <c r="H343" i="1" s="1"/>
  <c r="K375" i="1"/>
  <c r="J375" i="1" s="1"/>
  <c r="L375" i="1"/>
  <c r="I375" i="1" s="1"/>
  <c r="M375" i="1"/>
  <c r="H375" i="1" s="1"/>
  <c r="L122" i="1"/>
  <c r="I122" i="1" s="1"/>
  <c r="M122" i="1"/>
  <c r="H122" i="1" s="1"/>
  <c r="K122" i="1"/>
  <c r="J122" i="1" s="1"/>
  <c r="M24" i="1"/>
  <c r="H24" i="1" s="1"/>
  <c r="M73" i="1"/>
  <c r="H73" i="1" s="1"/>
  <c r="K123" i="1"/>
  <c r="J123" i="1" s="1"/>
  <c r="L123" i="1"/>
  <c r="I123" i="1" s="1"/>
  <c r="M123" i="1"/>
  <c r="H123" i="1" s="1"/>
  <c r="M6" i="1"/>
  <c r="H6" i="1" s="1"/>
  <c r="M119" i="1"/>
  <c r="H119" i="1" s="1"/>
  <c r="M26" i="1"/>
  <c r="H26" i="1" s="1"/>
  <c r="M60" i="1"/>
  <c r="H60" i="1" s="1"/>
  <c r="M61" i="1"/>
  <c r="H61" i="1" s="1"/>
  <c r="M64" i="1"/>
  <c r="H64" i="1" s="1"/>
  <c r="L118" i="1"/>
  <c r="I118" i="1" s="1"/>
  <c r="M118" i="1"/>
  <c r="H118" i="1" s="1"/>
  <c r="M7" i="1"/>
  <c r="H7" i="1" s="1"/>
  <c r="L25" i="1"/>
  <c r="I25" i="1" s="1"/>
  <c r="M25" i="1"/>
  <c r="H25" i="1" s="1"/>
  <c r="M19" i="1"/>
  <c r="H19" i="1" s="1"/>
  <c r="L20" i="1"/>
  <c r="I20" i="1" s="1"/>
  <c r="M20" i="1"/>
  <c r="H20" i="1" s="1"/>
  <c r="M3" i="1"/>
  <c r="H3" i="1" s="1"/>
  <c r="M58" i="1"/>
  <c r="H58" i="1" s="1"/>
  <c r="M14" i="1"/>
  <c r="H14" i="1" s="1"/>
  <c r="L13" i="1"/>
  <c r="I13" i="1" s="1"/>
  <c r="M13" i="1"/>
  <c r="H13" i="1" s="1"/>
  <c r="L65" i="1"/>
  <c r="I65" i="1" s="1"/>
  <c r="M65" i="1"/>
  <c r="H65" i="1" s="1"/>
  <c r="L8" i="1"/>
  <c r="I8" i="1" s="1"/>
  <c r="M8" i="1"/>
  <c r="H8" i="1" s="1"/>
  <c r="M68" i="1"/>
  <c r="H68" i="1" s="1"/>
  <c r="M76" i="1"/>
  <c r="H76" i="1" s="1"/>
  <c r="M18" i="1"/>
  <c r="H18" i="1" s="1"/>
  <c r="M77" i="1"/>
  <c r="H77" i="1" s="1"/>
  <c r="M2" i="1"/>
  <c r="H2" i="1" s="1"/>
  <c r="L72" i="1"/>
  <c r="I72" i="1" s="1"/>
  <c r="L12" i="1"/>
  <c r="I12" i="1" s="1"/>
  <c r="L69" i="1"/>
  <c r="I69" i="1" s="1"/>
  <c r="L3" i="1"/>
  <c r="I3" i="1" s="1"/>
  <c r="L77" i="1"/>
  <c r="I77" i="1" s="1"/>
  <c r="L26" i="1"/>
  <c r="I26" i="1" s="1"/>
  <c r="L76" i="1"/>
  <c r="I76" i="1" s="1"/>
  <c r="L14" i="1"/>
  <c r="I14" i="1" s="1"/>
  <c r="L64" i="1"/>
  <c r="I64" i="1" s="1"/>
  <c r="L19" i="1"/>
  <c r="I19" i="1" s="1"/>
  <c r="L18" i="1"/>
  <c r="I18" i="1" s="1"/>
  <c r="L24" i="1"/>
  <c r="I24" i="1" s="1"/>
  <c r="L73" i="1"/>
  <c r="I73" i="1" s="1"/>
  <c r="L7" i="1"/>
  <c r="I7" i="1" s="1"/>
  <c r="L6" i="1"/>
  <c r="I6" i="1" s="1"/>
  <c r="L119" i="1"/>
  <c r="I119" i="1" s="1"/>
  <c r="L68" i="1"/>
  <c r="I68" i="1" s="1"/>
  <c r="L58" i="1"/>
  <c r="I58" i="1" s="1"/>
  <c r="L61" i="1"/>
  <c r="I61" i="1" s="1"/>
  <c r="L2" i="1"/>
  <c r="I2" i="1" s="1"/>
  <c r="K64" i="1"/>
  <c r="J64" i="1" s="1"/>
  <c r="K69" i="1"/>
  <c r="J69" i="1" s="1"/>
  <c r="K58" i="1"/>
  <c r="J58" i="1" s="1"/>
  <c r="K72" i="1"/>
  <c r="J72" i="1" s="1"/>
  <c r="K77" i="1"/>
  <c r="J77" i="1" s="1"/>
  <c r="K118" i="1"/>
  <c r="J118" i="1" s="1"/>
  <c r="K65" i="1"/>
  <c r="J65" i="1" s="1"/>
  <c r="K119" i="1"/>
  <c r="J119" i="1" s="1"/>
  <c r="K60" i="1"/>
  <c r="J60" i="1" s="1"/>
  <c r="K68" i="1"/>
  <c r="J68" i="1" s="1"/>
  <c r="K76" i="1"/>
  <c r="J76" i="1" s="1"/>
  <c r="K73" i="1"/>
  <c r="J73" i="1" s="1"/>
  <c r="K61" i="1"/>
  <c r="J61" i="1" s="1"/>
  <c r="K20" i="1"/>
  <c r="J20" i="1" s="1"/>
  <c r="K24" i="1"/>
  <c r="J24" i="1" s="1"/>
  <c r="K14" i="1"/>
  <c r="J14" i="1" s="1"/>
  <c r="K12" i="1"/>
  <c r="J12" i="1" s="1"/>
  <c r="K18" i="1"/>
  <c r="J18" i="1" s="1"/>
  <c r="K26" i="1"/>
  <c r="J26" i="1" s="1"/>
  <c r="K13" i="1"/>
  <c r="J13" i="1" s="1"/>
  <c r="K25" i="1"/>
  <c r="J25" i="1" s="1"/>
  <c r="K19" i="1"/>
  <c r="J19" i="1" s="1"/>
  <c r="K7" i="1"/>
  <c r="J7" i="1" s="1"/>
  <c r="K8" i="1"/>
  <c r="J8" i="1" s="1"/>
  <c r="K6" i="1"/>
  <c r="J6" i="1" s="1"/>
  <c r="K2" i="1"/>
  <c r="K3" i="1"/>
  <c r="J3" i="1" s="1"/>
  <c r="O341" i="1"/>
  <c r="F341" i="1" s="1"/>
  <c r="B341" i="1" s="1"/>
  <c r="O13" i="1"/>
  <c r="F13" i="1" s="1"/>
  <c r="O147" i="1"/>
  <c r="F147" i="1" s="1"/>
  <c r="O250" i="1"/>
  <c r="F250" i="1" s="1"/>
  <c r="O73" i="1"/>
  <c r="F73" i="1" s="1"/>
  <c r="O248" i="1"/>
  <c r="F248" i="1" s="1"/>
  <c r="O389" i="1"/>
  <c r="F389" i="1" s="1"/>
  <c r="B389" i="1" s="1"/>
  <c r="O403" i="1"/>
  <c r="F403" i="1" s="1"/>
  <c r="B403" i="1" s="1"/>
  <c r="O572" i="1"/>
  <c r="F572" i="1" s="1"/>
  <c r="B572" i="1" s="1"/>
  <c r="O60" i="1"/>
  <c r="F60" i="1" s="1"/>
  <c r="O418" i="1"/>
  <c r="F418" i="1" s="1"/>
  <c r="B418" i="1" s="1"/>
  <c r="O65" i="1"/>
  <c r="F65" i="1" s="1"/>
  <c r="O208" i="1"/>
  <c r="F208" i="1" s="1"/>
  <c r="B208" i="1" s="1"/>
  <c r="O345" i="1"/>
  <c r="F345" i="1" s="1"/>
  <c r="B345" i="1" s="1"/>
  <c r="O391" i="1"/>
  <c r="F391" i="1" s="1"/>
  <c r="B391" i="1" s="1"/>
  <c r="O438" i="1"/>
  <c r="F438" i="1" s="1"/>
  <c r="B438" i="1" s="1"/>
  <c r="O531" i="1"/>
  <c r="F531" i="1" s="1"/>
  <c r="O19" i="1"/>
  <c r="F19" i="1" s="1"/>
  <c r="O555" i="1"/>
  <c r="F555" i="1" s="1"/>
  <c r="O28" i="1"/>
  <c r="F28" i="1" s="1"/>
  <c r="A28" i="1" s="1"/>
  <c r="O213" i="1"/>
  <c r="F213" i="1" s="1"/>
  <c r="B213" i="1" s="1"/>
  <c r="O23" i="1"/>
  <c r="F23" i="1" s="1"/>
  <c r="O75" i="1"/>
  <c r="F75" i="1" s="1"/>
  <c r="O222" i="1"/>
  <c r="F222" i="1" s="1"/>
  <c r="B222" i="1" s="1"/>
  <c r="O277" i="1"/>
  <c r="F277" i="1" s="1"/>
  <c r="B277" i="1" s="1"/>
  <c r="O329" i="1"/>
  <c r="F329" i="1" s="1"/>
  <c r="B329" i="1" s="1"/>
  <c r="O336" i="1"/>
  <c r="F336" i="1" s="1"/>
  <c r="B336" i="1" s="1"/>
  <c r="O570" i="1"/>
  <c r="F570" i="1" s="1"/>
  <c r="B570" i="1" s="1"/>
  <c r="O680" i="1"/>
  <c r="F680" i="1" s="1"/>
  <c r="B680" i="1" s="1"/>
  <c r="O408" i="1"/>
  <c r="F408" i="1" s="1"/>
  <c r="B408" i="1" s="1"/>
  <c r="O535" i="1"/>
  <c r="F535" i="1" s="1"/>
  <c r="B535" i="1" s="1"/>
  <c r="O442" i="1"/>
  <c r="F442" i="1" s="1"/>
  <c r="B442" i="1" s="1"/>
  <c r="O738" i="1"/>
  <c r="F738" i="1" s="1"/>
  <c r="O393" i="1"/>
  <c r="F393" i="1" s="1"/>
  <c r="B393" i="1" s="1"/>
  <c r="O517" i="1"/>
  <c r="F517" i="1" s="1"/>
  <c r="B517" i="1" s="1"/>
  <c r="O528" i="1"/>
  <c r="F528" i="1" s="1"/>
  <c r="B528" i="1" s="1"/>
  <c r="O713" i="1"/>
  <c r="F713" i="1" s="1"/>
  <c r="B713" i="1" s="1"/>
  <c r="O401" i="1"/>
  <c r="F401" i="1" s="1"/>
  <c r="B401" i="1" s="1"/>
  <c r="O333" i="1"/>
  <c r="F333" i="1" s="1"/>
  <c r="B333" i="1" s="1"/>
  <c r="O573" i="1"/>
  <c r="F573" i="1" s="1"/>
  <c r="B573" i="1" s="1"/>
  <c r="O719" i="1"/>
  <c r="F719" i="1" s="1"/>
  <c r="B719" i="1" s="1"/>
  <c r="O290" i="1"/>
  <c r="F290" i="1" s="1"/>
  <c r="B290" i="1" s="1"/>
  <c r="O135" i="1"/>
  <c r="F135" i="1" s="1"/>
  <c r="O275" i="1"/>
  <c r="F275" i="1" s="1"/>
  <c r="B275" i="1" s="1"/>
  <c r="O416" i="1"/>
  <c r="F416" i="1" s="1"/>
  <c r="B416" i="1" s="1"/>
  <c r="O589" i="1"/>
  <c r="F589" i="1" s="1"/>
  <c r="O15" i="1"/>
  <c r="F15" i="1" s="1"/>
  <c r="O62" i="1"/>
  <c r="F62" i="1" s="1"/>
  <c r="A62" i="1" s="1"/>
  <c r="O68" i="1"/>
  <c r="F68" i="1" s="1"/>
  <c r="O67" i="1"/>
  <c r="F67" i="1" s="1"/>
  <c r="O155" i="1"/>
  <c r="F155" i="1" s="1"/>
  <c r="O279" i="1"/>
  <c r="F279" i="1" s="1"/>
  <c r="B279" i="1" s="1"/>
  <c r="O392" i="1"/>
  <c r="F392" i="1" s="1"/>
  <c r="B392" i="1" s="1"/>
  <c r="O538" i="1"/>
  <c r="F538" i="1" s="1"/>
  <c r="B538" i="1" s="1"/>
  <c r="O730" i="1"/>
  <c r="F730" i="1" s="1"/>
  <c r="O29" i="1"/>
  <c r="F29" i="1" s="1"/>
  <c r="A29" i="1" s="1"/>
  <c r="O131" i="1"/>
  <c r="F131" i="1" s="1"/>
  <c r="O285" i="1"/>
  <c r="F285" i="1" s="1"/>
  <c r="B285" i="1" s="1"/>
  <c r="O324" i="1"/>
  <c r="F324" i="1" s="1"/>
  <c r="B324" i="1" s="1"/>
  <c r="O379" i="1"/>
  <c r="F379" i="1" s="1"/>
  <c r="B379" i="1" s="1"/>
  <c r="O423" i="1"/>
  <c r="F423" i="1" s="1"/>
  <c r="B423" i="1" s="1"/>
  <c r="O689" i="1"/>
  <c r="F689" i="1" s="1"/>
  <c r="B689" i="1" s="1"/>
  <c r="O727" i="1"/>
  <c r="F727" i="1" s="1"/>
  <c r="B727" i="1" s="1"/>
  <c r="O26" i="1"/>
  <c r="F26" i="1" s="1"/>
  <c r="O216" i="1"/>
  <c r="F216" i="1" s="1"/>
  <c r="B216" i="1" s="1"/>
  <c r="O210" i="1"/>
  <c r="F210" i="1" s="1"/>
  <c r="B210" i="1" s="1"/>
  <c r="O129" i="1"/>
  <c r="F129" i="1" s="1"/>
  <c r="B129" i="1" s="1"/>
  <c r="O154" i="1"/>
  <c r="F154" i="1" s="1"/>
  <c r="O441" i="1"/>
  <c r="F441" i="1" s="1"/>
  <c r="B441" i="1" s="1"/>
  <c r="O25" i="1"/>
  <c r="F25" i="1" s="1"/>
  <c r="O63" i="1"/>
  <c r="F63" i="1" s="1"/>
  <c r="O17" i="1"/>
  <c r="O71" i="1"/>
  <c r="F71" i="1" s="1"/>
  <c r="A71" i="1" s="1"/>
  <c r="O132" i="1"/>
  <c r="F132" i="1" s="1"/>
  <c r="B132" i="1" s="1"/>
  <c r="O156" i="1"/>
  <c r="F156" i="1" s="1"/>
  <c r="B156" i="1" s="1"/>
  <c r="O225" i="1"/>
  <c r="F225" i="1" s="1"/>
  <c r="B225" i="1" s="1"/>
  <c r="O274" i="1"/>
  <c r="F274" i="1" s="1"/>
  <c r="B274" i="1" s="1"/>
  <c r="O16" i="1"/>
  <c r="F16" i="1" s="1"/>
  <c r="O20" i="1"/>
  <c r="F20" i="1" s="1"/>
  <c r="O58" i="1"/>
  <c r="F58" i="1" s="1"/>
  <c r="O70" i="1"/>
  <c r="F70" i="1" s="1"/>
  <c r="A70" i="1" s="1"/>
  <c r="O150" i="1"/>
  <c r="F150" i="1" s="1"/>
  <c r="O211" i="1"/>
  <c r="F211" i="1" s="1"/>
  <c r="B211" i="1" s="1"/>
  <c r="O220" i="1"/>
  <c r="F220" i="1" s="1"/>
  <c r="B220" i="1" s="1"/>
  <c r="O224" i="1"/>
  <c r="F224" i="1" s="1"/>
  <c r="O292" i="1"/>
  <c r="F292" i="1" s="1"/>
  <c r="B292" i="1" s="1"/>
  <c r="O320" i="1"/>
  <c r="F320" i="1" s="1"/>
  <c r="B320" i="1" s="1"/>
  <c r="O395" i="1"/>
  <c r="F395" i="1" s="1"/>
  <c r="O414" i="1"/>
  <c r="F414" i="1" s="1"/>
  <c r="O433" i="1"/>
  <c r="F433" i="1" s="1"/>
  <c r="B433" i="1" s="1"/>
  <c r="O424" i="1"/>
  <c r="F424" i="1" s="1"/>
  <c r="O430" i="1"/>
  <c r="F430" i="1" s="1"/>
  <c r="B430" i="1" s="1"/>
  <c r="O435" i="1"/>
  <c r="F435" i="1" s="1"/>
  <c r="O533" i="1"/>
  <c r="F533" i="1" s="1"/>
  <c r="B533" i="1" s="1"/>
  <c r="O529" i="1"/>
  <c r="F529" i="1" s="1"/>
  <c r="O550" i="1"/>
  <c r="F550" i="1" s="1"/>
  <c r="B550" i="1" s="1"/>
  <c r="O552" i="1"/>
  <c r="F552" i="1" s="1"/>
  <c r="B552" i="1" s="1"/>
  <c r="O563" i="1"/>
  <c r="F563" i="1" s="1"/>
  <c r="B563" i="1" s="1"/>
  <c r="O560" i="1"/>
  <c r="F560" i="1" s="1"/>
  <c r="B560" i="1" s="1"/>
  <c r="O582" i="1"/>
  <c r="F582" i="1" s="1"/>
  <c r="B582" i="1" s="1"/>
  <c r="O711" i="1"/>
  <c r="F711" i="1" s="1"/>
  <c r="B711" i="1" s="1"/>
  <c r="O725" i="1"/>
  <c r="F725" i="1" s="1"/>
  <c r="B725" i="1" s="1"/>
  <c r="O728" i="1"/>
  <c r="F728" i="1" s="1"/>
  <c r="O731" i="1"/>
  <c r="F731" i="1" s="1"/>
  <c r="O733" i="1"/>
  <c r="F733" i="1" s="1"/>
  <c r="B733" i="1" s="1"/>
  <c r="O736" i="1"/>
  <c r="F736" i="1" s="1"/>
  <c r="O69" i="1"/>
  <c r="F69" i="1" s="1"/>
  <c r="O378" i="1"/>
  <c r="F378" i="1" s="1"/>
  <c r="B378" i="1" s="1"/>
  <c r="O138" i="1"/>
  <c r="F138" i="1" s="1"/>
  <c r="O78" i="1"/>
  <c r="F78" i="1" s="1"/>
  <c r="O144" i="1"/>
  <c r="F144" i="1" s="1"/>
  <c r="B144" i="1" s="1"/>
  <c r="O151" i="1"/>
  <c r="F151" i="1" s="1"/>
  <c r="O215" i="1"/>
  <c r="F215" i="1" s="1"/>
  <c r="O254" i="1"/>
  <c r="F254" i="1" s="1"/>
  <c r="O257" i="1"/>
  <c r="F257" i="1" s="1"/>
  <c r="B257" i="1" s="1"/>
  <c r="O271" i="1"/>
  <c r="F271" i="1" s="1"/>
  <c r="B271" i="1" s="1"/>
  <c r="O281" i="1"/>
  <c r="F281" i="1" s="1"/>
  <c r="B281" i="1" s="1"/>
  <c r="O287" i="1"/>
  <c r="F287" i="1" s="1"/>
  <c r="B287" i="1" s="1"/>
  <c r="O318" i="1"/>
  <c r="F318" i="1" s="1"/>
  <c r="O327" i="1"/>
  <c r="F327" i="1" s="1"/>
  <c r="O339" i="1"/>
  <c r="F339" i="1" s="1"/>
  <c r="O343" i="1"/>
  <c r="F343" i="1" s="1"/>
  <c r="O396" i="1"/>
  <c r="F396" i="1" s="1"/>
  <c r="B396" i="1" s="1"/>
  <c r="O421" i="1"/>
  <c r="F421" i="1" s="1"/>
  <c r="B421" i="1" s="1"/>
  <c r="O436" i="1"/>
  <c r="F436" i="1" s="1"/>
  <c r="B436" i="1" s="1"/>
  <c r="O523" i="1"/>
  <c r="F523" i="1" s="1"/>
  <c r="B523" i="1" s="1"/>
  <c r="O539" i="1"/>
  <c r="F539" i="1" s="1"/>
  <c r="B539" i="1" s="1"/>
  <c r="O547" i="1"/>
  <c r="F547" i="1" s="1"/>
  <c r="B547" i="1" s="1"/>
  <c r="O561" i="1"/>
  <c r="F561" i="1" s="1"/>
  <c r="B561" i="1" s="1"/>
  <c r="O556" i="1"/>
  <c r="F556" i="1" s="1"/>
  <c r="B556" i="1" s="1"/>
  <c r="O579" i="1"/>
  <c r="F579" i="1" s="1"/>
  <c r="B579" i="1" s="1"/>
  <c r="O587" i="1"/>
  <c r="F587" i="1" s="1"/>
  <c r="B587" i="1" s="1"/>
  <c r="O593" i="1"/>
  <c r="F593" i="1" s="1"/>
  <c r="B593" i="1" s="1"/>
  <c r="O676" i="1"/>
  <c r="F676" i="1" s="1"/>
  <c r="B676" i="1" s="1"/>
  <c r="O678" i="1"/>
  <c r="F678" i="1" s="1"/>
  <c r="O682" i="1"/>
  <c r="F682" i="1" s="1"/>
  <c r="O684" i="1"/>
  <c r="F684" i="1" s="1"/>
  <c r="B684" i="1" s="1"/>
  <c r="O686" i="1"/>
  <c r="F686" i="1" s="1"/>
  <c r="O709" i="1"/>
  <c r="F709" i="1" s="1"/>
  <c r="O21" i="1"/>
  <c r="F21" i="1" s="1"/>
  <c r="O77" i="1"/>
  <c r="F77" i="1" s="1"/>
  <c r="O118" i="1"/>
  <c r="F118" i="1" s="1"/>
  <c r="O120" i="1"/>
  <c r="F120" i="1" s="1"/>
  <c r="B120" i="1" s="1"/>
  <c r="O124" i="1"/>
  <c r="F124" i="1" s="1"/>
  <c r="B124" i="1" s="1"/>
  <c r="O139" i="1"/>
  <c r="F139" i="1" s="1"/>
  <c r="O146" i="1"/>
  <c r="F146" i="1" s="1"/>
  <c r="O214" i="1"/>
  <c r="F214" i="1" s="1"/>
  <c r="B214" i="1" s="1"/>
  <c r="O218" i="1"/>
  <c r="F218" i="1" s="1"/>
  <c r="O280" i="1"/>
  <c r="F280" i="1" s="1"/>
  <c r="B280" i="1" s="1"/>
  <c r="O326" i="1"/>
  <c r="F326" i="1" s="1"/>
  <c r="O338" i="1"/>
  <c r="F338" i="1" s="1"/>
  <c r="O383" i="1"/>
  <c r="F383" i="1" s="1"/>
  <c r="B383" i="1" s="1"/>
  <c r="O382" i="1"/>
  <c r="F382" i="1" s="1"/>
  <c r="B382" i="1" s="1"/>
  <c r="O412" i="1"/>
  <c r="F412" i="1" s="1"/>
  <c r="B412" i="1" s="1"/>
  <c r="O431" i="1"/>
  <c r="F431" i="1" s="1"/>
  <c r="B431" i="1" s="1"/>
  <c r="O443" i="1"/>
  <c r="F443" i="1" s="1"/>
  <c r="B443" i="1" s="1"/>
  <c r="O520" i="1"/>
  <c r="F520" i="1" s="1"/>
  <c r="B520" i="1" s="1"/>
  <c r="O521" i="1"/>
  <c r="F521" i="1" s="1"/>
  <c r="B521" i="1" s="1"/>
  <c r="O526" i="1"/>
  <c r="F526" i="1" s="1"/>
  <c r="B526" i="1" s="1"/>
  <c r="O578" i="1"/>
  <c r="F578" i="1" s="1"/>
  <c r="B578" i="1" s="1"/>
  <c r="O585" i="1"/>
  <c r="F585" i="1" s="1"/>
  <c r="B585" i="1" s="1"/>
  <c r="O590" i="1"/>
  <c r="F590" i="1" s="1"/>
  <c r="B590" i="1" s="1"/>
  <c r="O704" i="1"/>
  <c r="F704" i="1" s="1"/>
  <c r="B704" i="1" s="1"/>
  <c r="O708" i="1"/>
  <c r="F708" i="1" s="1"/>
  <c r="O714" i="1"/>
  <c r="F714" i="1" s="1"/>
  <c r="O721" i="1"/>
  <c r="F721" i="1" s="1"/>
  <c r="O128" i="1"/>
  <c r="F128" i="1" s="1"/>
  <c r="B128" i="1" s="1"/>
  <c r="O157" i="1"/>
  <c r="F157" i="1" s="1"/>
  <c r="B157" i="1" s="1"/>
  <c r="O283" i="1"/>
  <c r="F283" i="1" s="1"/>
  <c r="O321" i="1"/>
  <c r="F321" i="1" s="1"/>
  <c r="B321" i="1" s="1"/>
  <c r="O374" i="1"/>
  <c r="F374" i="1" s="1"/>
  <c r="O385" i="1"/>
  <c r="F385" i="1" s="1"/>
  <c r="O387" i="1"/>
  <c r="F387" i="1" s="1"/>
  <c r="B387" i="1" s="1"/>
  <c r="O399" i="1"/>
  <c r="F399" i="1" s="1"/>
  <c r="B399" i="1" s="1"/>
  <c r="O411" i="1"/>
  <c r="F411" i="1" s="1"/>
  <c r="B411" i="1" s="1"/>
  <c r="O406" i="1"/>
  <c r="F406" i="1" s="1"/>
  <c r="B406" i="1" s="1"/>
  <c r="O427" i="1"/>
  <c r="F427" i="1" s="1"/>
  <c r="B427" i="1" s="1"/>
  <c r="O515" i="1"/>
  <c r="F515" i="1" s="1"/>
  <c r="O542" i="1"/>
  <c r="F542" i="1" s="1"/>
  <c r="B542" i="1" s="1"/>
  <c r="O530" i="1"/>
  <c r="F530" i="1" s="1"/>
  <c r="O545" i="1"/>
  <c r="F545" i="1" s="1"/>
  <c r="O567" i="1"/>
  <c r="F567" i="1" s="1"/>
  <c r="B567" i="1" s="1"/>
  <c r="O566" i="1"/>
  <c r="F566" i="1" s="1"/>
  <c r="B566" i="1" s="1"/>
  <c r="O575" i="1"/>
  <c r="F575" i="1" s="1"/>
  <c r="O577" i="1"/>
  <c r="F577" i="1" s="1"/>
  <c r="B577" i="1" s="1"/>
  <c r="O675" i="1"/>
  <c r="F675" i="1" s="1"/>
  <c r="O700" i="1"/>
  <c r="F700" i="1" s="1"/>
  <c r="O716" i="1"/>
  <c r="F716" i="1" s="1"/>
  <c r="O723" i="1"/>
  <c r="F723" i="1" s="1"/>
  <c r="O741" i="1"/>
  <c r="F741" i="1" s="1"/>
  <c r="B741" i="1" s="1"/>
  <c r="O330" i="1"/>
  <c r="F330" i="1" s="1"/>
  <c r="O251" i="1"/>
  <c r="F251" i="1" s="1"/>
  <c r="B251" i="1" s="1"/>
  <c r="O331" i="1"/>
  <c r="F331" i="1" s="1"/>
  <c r="O342" i="1"/>
  <c r="F342" i="1" s="1"/>
  <c r="O72" i="1"/>
  <c r="F72" i="1" s="1"/>
  <c r="O133" i="1"/>
  <c r="F133" i="1" s="1"/>
  <c r="B133" i="1" s="1"/>
  <c r="O206" i="1"/>
  <c r="F206" i="1" s="1"/>
  <c r="O335" i="1"/>
  <c r="F335" i="1" s="1"/>
  <c r="O375" i="1"/>
  <c r="F375" i="1" s="1"/>
  <c r="O514" i="1"/>
  <c r="F514" i="1" s="1"/>
  <c r="O12" i="1"/>
  <c r="F12" i="1" s="1"/>
  <c r="O27" i="1"/>
  <c r="F27" i="1" s="1"/>
  <c r="O121" i="1"/>
  <c r="F121" i="1" s="1"/>
  <c r="B121" i="1" s="1"/>
  <c r="O122" i="1"/>
  <c r="F122" i="1" s="1"/>
  <c r="O130" i="1"/>
  <c r="F130" i="1" s="1"/>
  <c r="O253" i="1"/>
  <c r="F253" i="1" s="1"/>
  <c r="B253" i="1" s="1"/>
  <c r="O270" i="1"/>
  <c r="F270" i="1" s="1"/>
  <c r="B270" i="1" s="1"/>
  <c r="O278" i="1"/>
  <c r="F278" i="1" s="1"/>
  <c r="O284" i="1"/>
  <c r="F284" i="1" s="1"/>
  <c r="B284" i="1" s="1"/>
  <c r="O289" i="1"/>
  <c r="F289" i="1" s="1"/>
  <c r="B289" i="1" s="1"/>
  <c r="O323" i="1"/>
  <c r="F323" i="1" s="1"/>
  <c r="O337" i="1"/>
  <c r="F337" i="1" s="1"/>
  <c r="B337" i="1" s="1"/>
  <c r="O344" i="1"/>
  <c r="F344" i="1" s="1"/>
  <c r="B344" i="1" s="1"/>
  <c r="O381" i="1"/>
  <c r="F381" i="1" s="1"/>
  <c r="B381" i="1" s="1"/>
  <c r="O402" i="1"/>
  <c r="F402" i="1" s="1"/>
  <c r="B402" i="1" s="1"/>
  <c r="O398" i="1"/>
  <c r="F398" i="1" s="1"/>
  <c r="B398" i="1" s="1"/>
  <c r="O413" i="1"/>
  <c r="F413" i="1" s="1"/>
  <c r="B413" i="1" s="1"/>
  <c r="O410" i="1"/>
  <c r="F410" i="1" s="1"/>
  <c r="B410" i="1" s="1"/>
  <c r="O420" i="1"/>
  <c r="F420" i="1" s="1"/>
  <c r="B420" i="1" s="1"/>
  <c r="O429" i="1"/>
  <c r="F429" i="1" s="1"/>
  <c r="B429" i="1" s="1"/>
  <c r="O426" i="1"/>
  <c r="F426" i="1" s="1"/>
  <c r="B426" i="1" s="1"/>
  <c r="O437" i="1"/>
  <c r="F437" i="1" s="1"/>
  <c r="B437" i="1" s="1"/>
  <c r="O516" i="1"/>
  <c r="F516" i="1" s="1"/>
  <c r="O522" i="1"/>
  <c r="F522" i="1" s="1"/>
  <c r="B522" i="1" s="1"/>
  <c r="O527" i="1"/>
  <c r="F527" i="1" s="1"/>
  <c r="B527" i="1" s="1"/>
  <c r="O536" i="1"/>
  <c r="F536" i="1" s="1"/>
  <c r="B536" i="1" s="1"/>
  <c r="O534" i="1"/>
  <c r="F534" i="1" s="1"/>
  <c r="B534" i="1" s="1"/>
  <c r="O537" i="1"/>
  <c r="F537" i="1" s="1"/>
  <c r="B537" i="1" s="1"/>
  <c r="O583" i="1"/>
  <c r="F583" i="1" s="1"/>
  <c r="B583" i="1" s="1"/>
  <c r="O586" i="1"/>
  <c r="F586" i="1" s="1"/>
  <c r="B586" i="1" s="1"/>
  <c r="O592" i="1"/>
  <c r="F592" i="1" s="1"/>
  <c r="B592" i="1" s="1"/>
  <c r="O679" i="1"/>
  <c r="F679" i="1" s="1"/>
  <c r="O683" i="1"/>
  <c r="F683" i="1" s="1"/>
  <c r="O698" i="1"/>
  <c r="F698" i="1" s="1"/>
  <c r="O701" i="1"/>
  <c r="F701" i="1" s="1"/>
  <c r="O706" i="1"/>
  <c r="F706" i="1" s="1"/>
  <c r="O718" i="1"/>
  <c r="F718" i="1" s="1"/>
  <c r="B718" i="1" s="1"/>
  <c r="O724" i="1"/>
  <c r="F724" i="1" s="1"/>
  <c r="B724" i="1" s="1"/>
  <c r="O729" i="1"/>
  <c r="F729" i="1" s="1"/>
  <c r="O737" i="1"/>
  <c r="F737" i="1" s="1"/>
  <c r="O740" i="1"/>
  <c r="F740" i="1" s="1"/>
  <c r="B740" i="1" s="1"/>
  <c r="O148" i="1"/>
  <c r="F148" i="1" s="1"/>
  <c r="B148" i="1" s="1"/>
  <c r="O272" i="1"/>
  <c r="F272" i="1" s="1"/>
  <c r="B272" i="1" s="1"/>
  <c r="O397" i="1"/>
  <c r="F397" i="1" s="1"/>
  <c r="B397" i="1" s="1"/>
  <c r="O524" i="1"/>
  <c r="F524" i="1" s="1"/>
  <c r="B524" i="1" s="1"/>
  <c r="O548" i="1"/>
  <c r="F548" i="1" s="1"/>
  <c r="B548" i="1" s="1"/>
  <c r="O74" i="1"/>
  <c r="F74" i="1" s="1"/>
  <c r="O145" i="1"/>
  <c r="F145" i="1" s="1"/>
  <c r="B145" i="1" s="1"/>
  <c r="O334" i="1"/>
  <c r="F334" i="1" s="1"/>
  <c r="O219" i="1"/>
  <c r="F219" i="1" s="1"/>
  <c r="B219" i="1" s="1"/>
  <c r="O221" i="1"/>
  <c r="F221" i="1" s="1"/>
  <c r="O288" i="1"/>
  <c r="F288" i="1" s="1"/>
  <c r="O322" i="1"/>
  <c r="F322" i="1" s="1"/>
  <c r="O386" i="1"/>
  <c r="F386" i="1" s="1"/>
  <c r="B386" i="1" s="1"/>
  <c r="O549" i="1"/>
  <c r="F549" i="1" s="1"/>
  <c r="B549" i="1" s="1"/>
  <c r="O705" i="1"/>
  <c r="F705" i="1" s="1"/>
  <c r="B705" i="1" s="1"/>
  <c r="O79" i="1"/>
  <c r="F79" i="1" s="1"/>
  <c r="O143" i="1"/>
  <c r="F143" i="1" s="1"/>
  <c r="O223" i="1"/>
  <c r="F223" i="1" s="1"/>
  <c r="B223" i="1" s="1"/>
  <c r="O252" i="1"/>
  <c r="F252" i="1" s="1"/>
  <c r="O255" i="1"/>
  <c r="F255" i="1" s="1"/>
  <c r="B255" i="1" s="1"/>
  <c r="O256" i="1"/>
  <c r="F256" i="1" s="1"/>
  <c r="O269" i="1"/>
  <c r="F269" i="1" s="1"/>
  <c r="B269" i="1" s="1"/>
  <c r="O286" i="1"/>
  <c r="F286" i="1" s="1"/>
  <c r="B286" i="1" s="1"/>
  <c r="O291" i="1"/>
  <c r="F291" i="1" s="1"/>
  <c r="B291" i="1" s="1"/>
  <c r="O319" i="1"/>
  <c r="F319" i="1" s="1"/>
  <c r="O325" i="1"/>
  <c r="F325" i="1" s="1"/>
  <c r="B325" i="1" s="1"/>
  <c r="O404" i="1"/>
  <c r="F404" i="1" s="1"/>
  <c r="O422" i="1"/>
  <c r="F422" i="1" s="1"/>
  <c r="B422" i="1" s="1"/>
  <c r="O419" i="1"/>
  <c r="F419" i="1" s="1"/>
  <c r="B419" i="1" s="1"/>
  <c r="O432" i="1"/>
  <c r="F432" i="1" s="1"/>
  <c r="B432" i="1" s="1"/>
  <c r="O518" i="1"/>
  <c r="F518" i="1" s="1"/>
  <c r="B518" i="1" s="1"/>
  <c r="O543" i="1"/>
  <c r="F543" i="1" s="1"/>
  <c r="B543" i="1" s="1"/>
  <c r="O540" i="1"/>
  <c r="F540" i="1" s="1"/>
  <c r="B540" i="1" s="1"/>
  <c r="O544" i="1"/>
  <c r="F544" i="1" s="1"/>
  <c r="O558" i="1"/>
  <c r="F558" i="1" s="1"/>
  <c r="B558" i="1" s="1"/>
  <c r="O574" i="1"/>
  <c r="F574" i="1" s="1"/>
  <c r="O580" i="1"/>
  <c r="F580" i="1" s="1"/>
  <c r="B580" i="1" s="1"/>
  <c r="O584" i="1"/>
  <c r="F584" i="1" s="1"/>
  <c r="O690" i="1"/>
  <c r="F690" i="1" s="1"/>
  <c r="B690" i="1" s="1"/>
  <c r="O688" i="1"/>
  <c r="F688" i="1" s="1"/>
  <c r="O691" i="1"/>
  <c r="F691" i="1" s="1"/>
  <c r="B691" i="1" s="1"/>
  <c r="O702" i="1"/>
  <c r="F702" i="1" s="1"/>
  <c r="B702" i="1" s="1"/>
  <c r="O710" i="1"/>
  <c r="F710" i="1" s="1"/>
  <c r="B710" i="1" s="1"/>
  <c r="O712" i="1"/>
  <c r="F712" i="1" s="1"/>
  <c r="B712" i="1" s="1"/>
  <c r="O726" i="1"/>
  <c r="F726" i="1" s="1"/>
  <c r="B726" i="1" s="1"/>
  <c r="O739" i="1"/>
  <c r="F739" i="1" s="1"/>
  <c r="B739" i="1" s="1"/>
  <c r="O249" i="1"/>
  <c r="F249" i="1" s="1"/>
  <c r="B249" i="1" s="1"/>
  <c r="O677" i="1"/>
  <c r="F677" i="1" s="1"/>
  <c r="B677" i="1" s="1"/>
  <c r="O22" i="1"/>
  <c r="F22" i="1" s="1"/>
  <c r="A22" i="1" s="1"/>
  <c r="O217" i="1"/>
  <c r="F217" i="1" s="1"/>
  <c r="B217" i="1" s="1"/>
  <c r="O571" i="1"/>
  <c r="F571" i="1" s="1"/>
  <c r="B571" i="1" s="1"/>
  <c r="O681" i="1"/>
  <c r="F681" i="1" s="1"/>
  <c r="B681" i="1" s="1"/>
  <c r="O717" i="1"/>
  <c r="F717" i="1" s="1"/>
  <c r="B717" i="1" s="1"/>
  <c r="O119" i="1"/>
  <c r="F119" i="1" s="1"/>
  <c r="O125" i="1"/>
  <c r="F125" i="1" s="1"/>
  <c r="B125" i="1" s="1"/>
  <c r="O126" i="1"/>
  <c r="F126" i="1" s="1"/>
  <c r="O141" i="1"/>
  <c r="F141" i="1" s="1"/>
  <c r="B141" i="1" s="1"/>
  <c r="O142" i="1"/>
  <c r="F142" i="1" s="1"/>
  <c r="O226" i="1"/>
  <c r="F226" i="1" s="1"/>
  <c r="B226" i="1" s="1"/>
  <c r="O268" i="1"/>
  <c r="F268" i="1" s="1"/>
  <c r="O276" i="1"/>
  <c r="F276" i="1" s="1"/>
  <c r="B276" i="1" s="1"/>
  <c r="O282" i="1"/>
  <c r="F282" i="1" s="1"/>
  <c r="B282" i="1" s="1"/>
  <c r="O376" i="1"/>
  <c r="F376" i="1" s="1"/>
  <c r="B376" i="1" s="1"/>
  <c r="O380" i="1"/>
  <c r="F380" i="1" s="1"/>
  <c r="B380" i="1" s="1"/>
  <c r="O384" i="1"/>
  <c r="F384" i="1" s="1"/>
  <c r="O388" i="1"/>
  <c r="F388" i="1" s="1"/>
  <c r="B388" i="1" s="1"/>
  <c r="O394" i="1"/>
  <c r="F394" i="1" s="1"/>
  <c r="O400" i="1"/>
  <c r="F400" i="1" s="1"/>
  <c r="B400" i="1" s="1"/>
  <c r="O409" i="1"/>
  <c r="F409" i="1" s="1"/>
  <c r="B409" i="1" s="1"/>
  <c r="O415" i="1"/>
  <c r="F415" i="1" s="1"/>
  <c r="O417" i="1"/>
  <c r="F417" i="1" s="1"/>
  <c r="B417" i="1" s="1"/>
  <c r="O425" i="1"/>
  <c r="F425" i="1" s="1"/>
  <c r="O428" i="1"/>
  <c r="F428" i="1" s="1"/>
  <c r="B428" i="1" s="1"/>
  <c r="O434" i="1"/>
  <c r="F434" i="1" s="1"/>
  <c r="O553" i="1"/>
  <c r="F553" i="1" s="1"/>
  <c r="B553" i="1" s="1"/>
  <c r="O546" i="1"/>
  <c r="F546" i="1" s="1"/>
  <c r="B546" i="1" s="1"/>
  <c r="O551" i="1"/>
  <c r="F551" i="1" s="1"/>
  <c r="B551" i="1" s="1"/>
  <c r="O557" i="1"/>
  <c r="F557" i="1" s="1"/>
  <c r="B557" i="1" s="1"/>
  <c r="O569" i="1"/>
  <c r="F569" i="1" s="1"/>
  <c r="B569" i="1" s="1"/>
  <c r="O588" i="1"/>
  <c r="F588" i="1" s="1"/>
  <c r="B588" i="1" s="1"/>
  <c r="O591" i="1"/>
  <c r="F591" i="1" s="1"/>
  <c r="B591" i="1" s="1"/>
  <c r="O715" i="1"/>
  <c r="F715" i="1" s="1"/>
  <c r="O722" i="1"/>
  <c r="F722" i="1" s="1"/>
  <c r="O734" i="1"/>
  <c r="F734" i="1" s="1"/>
  <c r="B734" i="1" s="1"/>
  <c r="O685" i="1"/>
  <c r="F685" i="1" s="1"/>
  <c r="B685" i="1" s="1"/>
  <c r="O24" i="1"/>
  <c r="F24" i="1" s="1"/>
  <c r="O140" i="1"/>
  <c r="F140" i="1" s="1"/>
  <c r="B140" i="1" s="1"/>
  <c r="O134" i="1"/>
  <c r="F134" i="1" s="1"/>
  <c r="O273" i="1"/>
  <c r="F273" i="1" s="1"/>
  <c r="O562" i="1"/>
  <c r="F562" i="1" s="1"/>
  <c r="B562" i="1" s="1"/>
  <c r="O568" i="1"/>
  <c r="F568" i="1" s="1"/>
  <c r="B568" i="1" s="1"/>
  <c r="O687" i="1"/>
  <c r="F687" i="1" s="1"/>
  <c r="O720" i="1"/>
  <c r="F720" i="1" s="1"/>
  <c r="O59" i="1"/>
  <c r="F59" i="1" s="1"/>
  <c r="A59" i="1" s="1"/>
  <c r="F76" i="1"/>
  <c r="O14" i="1"/>
  <c r="F14" i="1" s="1"/>
  <c r="F18" i="1"/>
  <c r="O61" i="1"/>
  <c r="F61" i="1" s="1"/>
  <c r="O66" i="1"/>
  <c r="F66" i="1" s="1"/>
  <c r="O64" i="1"/>
  <c r="F64" i="1" s="1"/>
  <c r="O123" i="1"/>
  <c r="F123" i="1" s="1"/>
  <c r="O127" i="1"/>
  <c r="F127" i="1" s="1"/>
  <c r="O136" i="1"/>
  <c r="F136" i="1" s="1"/>
  <c r="B136" i="1" s="1"/>
  <c r="O137" i="1"/>
  <c r="F137" i="1" s="1"/>
  <c r="B137" i="1" s="1"/>
  <c r="O149" i="1"/>
  <c r="F149" i="1" s="1"/>
  <c r="B149" i="1" s="1"/>
  <c r="O152" i="1"/>
  <c r="F152" i="1" s="1"/>
  <c r="B152" i="1" s="1"/>
  <c r="O153" i="1"/>
  <c r="F153" i="1" s="1"/>
  <c r="B153" i="1" s="1"/>
  <c r="O207" i="1"/>
  <c r="F207" i="1" s="1"/>
  <c r="B207" i="1" s="1"/>
  <c r="O209" i="1"/>
  <c r="F209" i="1" s="1"/>
  <c r="O212" i="1"/>
  <c r="F212" i="1" s="1"/>
  <c r="O328" i="1"/>
  <c r="F328" i="1" s="1"/>
  <c r="B328" i="1" s="1"/>
  <c r="O332" i="1"/>
  <c r="F332" i="1" s="1"/>
  <c r="B332" i="1" s="1"/>
  <c r="O340" i="1"/>
  <c r="F340" i="1" s="1"/>
  <c r="B340" i="1" s="1"/>
  <c r="O377" i="1"/>
  <c r="F377" i="1" s="1"/>
  <c r="B377" i="1" s="1"/>
  <c r="O390" i="1"/>
  <c r="F390" i="1" s="1"/>
  <c r="B390" i="1" s="1"/>
  <c r="O405" i="1"/>
  <c r="F405" i="1" s="1"/>
  <c r="O407" i="1"/>
  <c r="F407" i="1" s="1"/>
  <c r="B407" i="1" s="1"/>
  <c r="O439" i="1"/>
  <c r="F439" i="1" s="1"/>
  <c r="B439" i="1" s="1"/>
  <c r="O440" i="1"/>
  <c r="F440" i="1" s="1"/>
  <c r="B440" i="1" s="1"/>
  <c r="O519" i="1"/>
  <c r="F519" i="1" s="1"/>
  <c r="B519" i="1" s="1"/>
  <c r="O525" i="1"/>
  <c r="F525" i="1" s="1"/>
  <c r="B525" i="1" s="1"/>
  <c r="O541" i="1"/>
  <c r="F541" i="1" s="1"/>
  <c r="B541" i="1" s="1"/>
  <c r="O532" i="1"/>
  <c r="F532" i="1" s="1"/>
  <c r="B532" i="1" s="1"/>
  <c r="O554" i="1"/>
  <c r="F554" i="1" s="1"/>
  <c r="O559" i="1"/>
  <c r="F559" i="1" s="1"/>
  <c r="B559" i="1" s="1"/>
  <c r="O564" i="1"/>
  <c r="F564" i="1" s="1"/>
  <c r="O565" i="1"/>
  <c r="F565" i="1" s="1"/>
  <c r="O581" i="1"/>
  <c r="F581" i="1" s="1"/>
  <c r="B581" i="1" s="1"/>
  <c r="O576" i="1"/>
  <c r="F576" i="1" s="1"/>
  <c r="B576" i="1" s="1"/>
  <c r="O674" i="1"/>
  <c r="F674" i="1" s="1"/>
  <c r="O699" i="1"/>
  <c r="F699" i="1" s="1"/>
  <c r="O703" i="1"/>
  <c r="F703" i="1" s="1"/>
  <c r="B703" i="1" s="1"/>
  <c r="O707" i="1"/>
  <c r="F707" i="1" s="1"/>
  <c r="O732" i="1"/>
  <c r="F732" i="1" s="1"/>
  <c r="B732" i="1" s="1"/>
  <c r="O735" i="1"/>
  <c r="F735" i="1" s="1"/>
  <c r="B735" i="1" s="1"/>
  <c r="T327" i="1"/>
  <c r="T329" i="1"/>
  <c r="T328" i="1"/>
  <c r="T326" i="1"/>
  <c r="B82" i="1" l="1"/>
  <c r="B42" i="1"/>
  <c r="B91" i="1"/>
  <c r="A707" i="1"/>
  <c r="A123" i="1"/>
  <c r="A256" i="1"/>
  <c r="A118" i="1"/>
  <c r="B625" i="1"/>
  <c r="B754" i="1"/>
  <c r="B789" i="1"/>
  <c r="B30" i="1"/>
  <c r="B108" i="1"/>
  <c r="B179" i="1"/>
  <c r="B227" i="1"/>
  <c r="B797" i="1"/>
  <c r="B776" i="1"/>
  <c r="B318" i="1"/>
  <c r="B589" i="1"/>
  <c r="B554" i="1"/>
  <c r="B69" i="1"/>
  <c r="B692" i="1"/>
  <c r="B47" i="1"/>
  <c r="B84" i="1"/>
  <c r="B106" i="1"/>
  <c r="B198" i="1"/>
  <c r="B187" i="1"/>
  <c r="B346" i="1"/>
  <c r="B354" i="1"/>
  <c r="B505" i="1"/>
  <c r="B634" i="1"/>
  <c r="B742" i="1"/>
  <c r="B806" i="1"/>
  <c r="B111" i="1"/>
  <c r="B138" i="1"/>
  <c r="B322" i="1"/>
  <c r="B190" i="1"/>
  <c r="B455" i="1"/>
  <c r="B130" i="1"/>
  <c r="B374" i="1"/>
  <c r="B545" i="1"/>
  <c r="B708" i="1"/>
  <c r="B716" i="1"/>
  <c r="B706" i="1"/>
  <c r="B102" i="1"/>
  <c r="B252" i="1"/>
  <c r="B394" i="1"/>
  <c r="B530" i="1"/>
  <c r="B494" i="1"/>
  <c r="B454" i="1"/>
  <c r="B777" i="1"/>
  <c r="B334" i="1"/>
  <c r="B131" i="1"/>
  <c r="B544" i="1"/>
  <c r="B674" i="1"/>
  <c r="B474" i="1"/>
  <c r="B644" i="1"/>
  <c r="B790" i="1"/>
  <c r="A110" i="1"/>
  <c r="B693" i="1"/>
  <c r="B86" i="1"/>
  <c r="B298" i="1"/>
  <c r="B64" i="1"/>
  <c r="B65" i="1"/>
  <c r="B339" i="1"/>
  <c r="B34" i="1"/>
  <c r="B46" i="1"/>
  <c r="B90" i="1"/>
  <c r="B175" i="1"/>
  <c r="B202" i="1"/>
  <c r="B266" i="1"/>
  <c r="B370" i="1"/>
  <c r="B609" i="1"/>
  <c r="A756" i="1"/>
  <c r="B769" i="1"/>
  <c r="A163" i="1"/>
  <c r="B110" i="1"/>
  <c r="B26" i="1"/>
  <c r="B119" i="1"/>
  <c r="B178" i="1"/>
  <c r="B303" i="1"/>
  <c r="B158" i="1"/>
  <c r="B475" i="1"/>
  <c r="B24" i="1"/>
  <c r="B122" i="1"/>
  <c r="B715" i="1"/>
  <c r="B35" i="1"/>
  <c r="B230" i="1"/>
  <c r="B362" i="1"/>
  <c r="B664" i="1"/>
  <c r="B775" i="1"/>
  <c r="B162" i="1"/>
  <c r="B395" i="1"/>
  <c r="B58" i="1"/>
  <c r="B28" i="1"/>
  <c r="B319" i="1"/>
  <c r="B94" i="1"/>
  <c r="B767" i="1"/>
  <c r="B77" i="1"/>
  <c r="B782" i="1"/>
  <c r="A273" i="1"/>
  <c r="A343" i="1"/>
  <c r="A13" i="1"/>
  <c r="B25" i="1"/>
  <c r="B73" i="1"/>
  <c r="B209" i="1"/>
  <c r="B143" i="1"/>
  <c r="B326" i="1"/>
  <c r="B147" i="1"/>
  <c r="B434" i="1"/>
  <c r="B699" i="1"/>
  <c r="B574" i="1"/>
  <c r="B435" i="1"/>
  <c r="B723" i="1"/>
  <c r="B675" i="1"/>
  <c r="B531" i="1"/>
  <c r="B714" i="1"/>
  <c r="B335" i="1"/>
  <c r="B48" i="1"/>
  <c r="B195" i="1"/>
  <c r="B242" i="1"/>
  <c r="B594" i="1"/>
  <c r="B746" i="1"/>
  <c r="B798" i="1"/>
  <c r="B248" i="1"/>
  <c r="B683" i="1"/>
  <c r="B182" i="1"/>
  <c r="B233" i="1"/>
  <c r="A18" i="1"/>
  <c r="A384" i="1"/>
  <c r="A143" i="1"/>
  <c r="B698" i="1"/>
  <c r="B425" i="1"/>
  <c r="B19" i="1"/>
  <c r="B60" i="1"/>
  <c r="B212" i="1"/>
  <c r="B404" i="1"/>
  <c r="B142" i="1"/>
  <c r="B127" i="1"/>
  <c r="B722" i="1"/>
  <c r="B738" i="1"/>
  <c r="B516" i="1"/>
  <c r="B721" i="1"/>
  <c r="B72" i="1"/>
  <c r="B31" i="1"/>
  <c r="B103" i="1"/>
  <c r="B186" i="1"/>
  <c r="B245" i="1"/>
  <c r="B293" i="1"/>
  <c r="B347" i="1"/>
  <c r="B355" i="1"/>
  <c r="B654" i="1"/>
  <c r="B766" i="1"/>
  <c r="B751" i="1"/>
  <c r="A27" i="1"/>
  <c r="B27" i="1"/>
  <c r="A67" i="1"/>
  <c r="B67" i="1"/>
  <c r="B61" i="1"/>
  <c r="B343" i="1"/>
  <c r="B327" i="1"/>
  <c r="B154" i="1"/>
  <c r="A194" i="1"/>
  <c r="B194" i="1"/>
  <c r="A239" i="1"/>
  <c r="B239" i="1"/>
  <c r="A258" i="1"/>
  <c r="B258" i="1"/>
  <c r="A308" i="1"/>
  <c r="B308" i="1"/>
  <c r="A484" i="1"/>
  <c r="B484" i="1"/>
  <c r="A788" i="1"/>
  <c r="B788" i="1"/>
  <c r="B384" i="1"/>
  <c r="B13" i="1"/>
  <c r="B342" i="1"/>
  <c r="B731" i="1"/>
  <c r="A74" i="1"/>
  <c r="B74" i="1"/>
  <c r="A63" i="1"/>
  <c r="B63" i="1"/>
  <c r="A15" i="1"/>
  <c r="B15" i="1"/>
  <c r="B18" i="1"/>
  <c r="B330" i="1"/>
  <c r="B126" i="1"/>
  <c r="B134" i="1"/>
  <c r="B146" i="1"/>
  <c r="B736" i="1"/>
  <c r="B565" i="1"/>
  <c r="B678" i="1"/>
  <c r="B682" i="1"/>
  <c r="B12" i="1"/>
  <c r="B221" i="1"/>
  <c r="A41" i="1"/>
  <c r="B41" i="1"/>
  <c r="A95" i="1"/>
  <c r="B95" i="1"/>
  <c r="A358" i="1"/>
  <c r="B358" i="1"/>
  <c r="A464" i="1"/>
  <c r="B464" i="1"/>
  <c r="A784" i="1"/>
  <c r="B784" i="1"/>
  <c r="A743" i="1"/>
  <c r="B743" i="1"/>
  <c r="A783" i="1"/>
  <c r="B783" i="1"/>
  <c r="B273" i="1"/>
  <c r="B22" i="1"/>
  <c r="A75" i="1"/>
  <c r="B75" i="1"/>
  <c r="B254" i="1"/>
  <c r="B688" i="1"/>
  <c r="A166" i="1"/>
  <c r="B166" i="1"/>
  <c r="A635" i="1"/>
  <c r="B635" i="1"/>
  <c r="A791" i="1"/>
  <c r="B791" i="1"/>
  <c r="A720" i="1"/>
  <c r="A721" i="1"/>
  <c r="A326" i="1"/>
  <c r="A16" i="1"/>
  <c r="B16" i="1"/>
  <c r="A248" i="1"/>
  <c r="B76" i="1"/>
  <c r="B6" i="1"/>
  <c r="A236" i="1"/>
  <c r="B236" i="1"/>
  <c r="A313" i="1"/>
  <c r="B359" i="1"/>
  <c r="A595" i="1"/>
  <c r="B595" i="1"/>
  <c r="A799" i="1"/>
  <c r="B799" i="1"/>
  <c r="B755" i="1"/>
  <c r="B375" i="1"/>
  <c r="B215" i="1"/>
  <c r="B283" i="1"/>
  <c r="B575" i="1"/>
  <c r="A54" i="1"/>
  <c r="B54" i="1"/>
  <c r="B99" i="1"/>
  <c r="B191" i="1"/>
  <c r="B199" i="1"/>
  <c r="B313" i="1"/>
  <c r="B366" i="1"/>
  <c r="B444" i="1"/>
  <c r="B645" i="1"/>
  <c r="A669" i="1"/>
  <c r="B669" i="1"/>
  <c r="B596" i="1"/>
  <c r="B768" i="1"/>
  <c r="A796" i="1"/>
  <c r="B796" i="1"/>
  <c r="B115" i="1"/>
  <c r="B59" i="1"/>
  <c r="B163" i="1"/>
  <c r="A79" i="1"/>
  <c r="B79" i="1"/>
  <c r="B756" i="1"/>
  <c r="A25" i="1"/>
  <c r="A589" i="1"/>
  <c r="A7" i="1"/>
  <c r="B7" i="1"/>
  <c r="B331" i="1"/>
  <c r="B256" i="1"/>
  <c r="B707" i="1"/>
  <c r="A99" i="1"/>
  <c r="A367" i="1"/>
  <c r="A485" i="1"/>
  <c r="B485" i="1"/>
  <c r="A655" i="1"/>
  <c r="B655" i="1"/>
  <c r="A760" i="1"/>
  <c r="B760" i="1"/>
  <c r="B68" i="1"/>
  <c r="B123" i="1"/>
  <c r="B414" i="1"/>
  <c r="B268" i="1"/>
  <c r="B709" i="1"/>
  <c r="B514" i="1"/>
  <c r="B151" i="1"/>
  <c r="A66" i="1"/>
  <c r="B66" i="1"/>
  <c r="A21" i="1"/>
  <c r="B21" i="1"/>
  <c r="B8" i="1"/>
  <c r="B3" i="1"/>
  <c r="B288" i="1"/>
  <c r="B150" i="1"/>
  <c r="B278" i="1"/>
  <c r="B135" i="1"/>
  <c r="B730" i="1"/>
  <c r="B728" i="1"/>
  <c r="B679" i="1"/>
  <c r="B555" i="1"/>
  <c r="B729" i="1"/>
  <c r="B564" i="1"/>
  <c r="B694" i="1"/>
  <c r="B80" i="1"/>
  <c r="B183" i="1"/>
  <c r="B174" i="1"/>
  <c r="B262" i="1"/>
  <c r="B465" i="1"/>
  <c r="B610" i="1"/>
  <c r="B747" i="1"/>
  <c r="B774" i="1"/>
  <c r="B804" i="1"/>
  <c r="B114" i="1"/>
  <c r="A209" i="1"/>
  <c r="A335" i="1"/>
  <c r="A78" i="1"/>
  <c r="B78" i="1"/>
  <c r="A23" i="1"/>
  <c r="B23" i="1"/>
  <c r="B14" i="1"/>
  <c r="B737" i="1"/>
  <c r="A170" i="1"/>
  <c r="B170" i="1"/>
  <c r="B264" i="1"/>
  <c r="B611" i="1"/>
  <c r="A115" i="1"/>
  <c r="B367" i="1"/>
  <c r="B118" i="1"/>
  <c r="B139" i="1"/>
  <c r="A53" i="1"/>
  <c r="B53" i="1"/>
  <c r="A674" i="1"/>
  <c r="A61" i="1"/>
  <c r="A434" i="1"/>
  <c r="A142" i="1"/>
  <c r="A544" i="1"/>
  <c r="B20" i="1"/>
  <c r="B250" i="1"/>
  <c r="B405" i="1"/>
  <c r="B385" i="1"/>
  <c r="B218" i="1"/>
  <c r="B224" i="1"/>
  <c r="B323" i="1"/>
  <c r="B686" i="1"/>
  <c r="B720" i="1"/>
  <c r="B515" i="1"/>
  <c r="B529" i="1"/>
  <c r="B687" i="1"/>
  <c r="B700" i="1"/>
  <c r="B701" i="1"/>
  <c r="B52" i="1"/>
  <c r="B40" i="1"/>
  <c r="B171" i="1"/>
  <c r="B371" i="1"/>
  <c r="B350" i="1"/>
  <c r="B363" i="1"/>
  <c r="B495" i="1"/>
  <c r="B624" i="1"/>
  <c r="B762" i="1"/>
  <c r="B750" i="1"/>
  <c r="B584" i="1"/>
  <c r="A102" i="1"/>
  <c r="A98" i="1"/>
  <c r="A203" i="1"/>
  <c r="A298" i="1"/>
  <c r="A351" i="1"/>
  <c r="A350" i="1"/>
  <c r="A494" i="1"/>
  <c r="A761" i="1"/>
  <c r="A789" i="1"/>
  <c r="A159" i="1"/>
  <c r="A701" i="1"/>
  <c r="A323" i="1"/>
  <c r="A72" i="1"/>
  <c r="A700" i="1"/>
  <c r="A69" i="1"/>
  <c r="A424" i="1"/>
  <c r="A155" i="1"/>
  <c r="A135" i="1"/>
  <c r="A555" i="1"/>
  <c r="A147" i="1"/>
  <c r="A8" i="1"/>
  <c r="B338" i="1"/>
  <c r="B206" i="1"/>
  <c r="A260" i="1"/>
  <c r="A370" i="1"/>
  <c r="A445" i="1"/>
  <c r="A454" i="1"/>
  <c r="A625" i="1"/>
  <c r="A754" i="1"/>
  <c r="A751" i="1"/>
  <c r="B351" i="1"/>
  <c r="B98" i="1"/>
  <c r="B260" i="1"/>
  <c r="A738" i="1"/>
  <c r="B155" i="1"/>
  <c r="B424" i="1"/>
  <c r="A36" i="1"/>
  <c r="A31" i="1"/>
  <c r="A87" i="1"/>
  <c r="A167" i="1"/>
  <c r="A504" i="1"/>
  <c r="A750" i="1"/>
  <c r="A777" i="1"/>
  <c r="B445" i="1"/>
  <c r="B415" i="1"/>
  <c r="A84" i="1"/>
  <c r="A195" i="1"/>
  <c r="A505" i="1"/>
  <c r="A805" i="1"/>
  <c r="A798" i="1"/>
  <c r="B159" i="1"/>
  <c r="B805" i="1"/>
  <c r="B62" i="1"/>
  <c r="B71" i="1"/>
  <c r="B70" i="1"/>
  <c r="B504" i="1"/>
  <c r="B36" i="1"/>
  <c r="B29" i="1"/>
  <c r="B203" i="1"/>
  <c r="B761" i="1"/>
  <c r="B167" i="1"/>
  <c r="B87" i="1"/>
  <c r="A675" i="1"/>
  <c r="A515" i="1"/>
  <c r="A686" i="1"/>
  <c r="A693" i="1"/>
  <c r="A80" i="1"/>
  <c r="A91" i="1"/>
  <c r="A191" i="1"/>
  <c r="A198" i="1"/>
  <c r="A174" i="1"/>
  <c r="A366" i="1"/>
  <c r="A359" i="1"/>
  <c r="A474" i="1"/>
  <c r="A767" i="1"/>
  <c r="A776" i="1"/>
  <c r="A6" i="1"/>
  <c r="A35" i="1"/>
  <c r="A42" i="1"/>
  <c r="A175" i="1"/>
  <c r="A190" i="1"/>
  <c r="A230" i="1"/>
  <c r="A242" i="1"/>
  <c r="A347" i="1"/>
  <c r="A495" i="1"/>
  <c r="A654" i="1"/>
  <c r="A47" i="1"/>
  <c r="A187" i="1"/>
  <c r="A806" i="1"/>
  <c r="A769" i="1"/>
  <c r="A782" i="1"/>
  <c r="A111" i="1"/>
  <c r="A3" i="1"/>
  <c r="A694" i="1"/>
  <c r="A179" i="1"/>
  <c r="A227" i="1"/>
  <c r="A266" i="1"/>
  <c r="A363" i="1"/>
  <c r="A610" i="1"/>
  <c r="A645" i="1"/>
  <c r="A624" i="1"/>
  <c r="A634" i="1"/>
  <c r="A747" i="1"/>
  <c r="A755" i="1"/>
  <c r="A594" i="1"/>
  <c r="A664" i="1"/>
  <c r="A766" i="1"/>
  <c r="A762" i="1"/>
  <c r="A790" i="1"/>
  <c r="A768" i="1"/>
  <c r="A804" i="1"/>
  <c r="A162" i="1"/>
  <c r="A158" i="1"/>
  <c r="A52" i="1"/>
  <c r="A103" i="1"/>
  <c r="A106" i="1"/>
  <c r="A178" i="1"/>
  <c r="A233" i="1"/>
  <c r="A293" i="1"/>
  <c r="A346" i="1"/>
  <c r="A475" i="1"/>
  <c r="A46" i="1"/>
  <c r="A82" i="1"/>
  <c r="A90" i="1"/>
  <c r="A86" i="1"/>
  <c r="A108" i="1"/>
  <c r="A182" i="1"/>
  <c r="A186" i="1"/>
  <c r="A202" i="1"/>
  <c r="A183" i="1"/>
  <c r="A245" i="1"/>
  <c r="A354" i="1"/>
  <c r="A362" i="1"/>
  <c r="A465" i="1"/>
  <c r="A609" i="1"/>
  <c r="A596" i="1"/>
  <c r="A611" i="1"/>
  <c r="A644" i="1"/>
  <c r="A775" i="1"/>
  <c r="A742" i="1"/>
  <c r="A774" i="1"/>
  <c r="A34" i="1"/>
  <c r="A30" i="1"/>
  <c r="A199" i="1"/>
  <c r="A303" i="1"/>
  <c r="A355" i="1"/>
  <c r="A26" i="1"/>
  <c r="A692" i="1"/>
  <c r="A48" i="1"/>
  <c r="A40" i="1"/>
  <c r="A94" i="1"/>
  <c r="A171" i="1"/>
  <c r="A262" i="1"/>
  <c r="A264" i="1"/>
  <c r="A371" i="1"/>
  <c r="A444" i="1"/>
  <c r="A455" i="1"/>
  <c r="A797" i="1"/>
  <c r="A746" i="1"/>
  <c r="A114" i="1"/>
  <c r="A565" i="1"/>
  <c r="A440" i="1"/>
  <c r="A328" i="1"/>
  <c r="A136" i="1"/>
  <c r="A76" i="1"/>
  <c r="A140" i="1"/>
  <c r="A569" i="1"/>
  <c r="A417" i="1"/>
  <c r="A376" i="1"/>
  <c r="A125" i="1"/>
  <c r="A249" i="1"/>
  <c r="A690" i="1"/>
  <c r="A518" i="1"/>
  <c r="A286" i="1"/>
  <c r="A705" i="1"/>
  <c r="A145" i="1"/>
  <c r="A737" i="1"/>
  <c r="A679" i="1"/>
  <c r="A522" i="1"/>
  <c r="A398" i="1"/>
  <c r="A278" i="1"/>
  <c r="A514" i="1"/>
  <c r="A251" i="1"/>
  <c r="A575" i="1"/>
  <c r="A406" i="1"/>
  <c r="A157" i="1"/>
  <c r="A578" i="1"/>
  <c r="A383" i="1"/>
  <c r="A124" i="1"/>
  <c r="A682" i="1"/>
  <c r="A547" i="1"/>
  <c r="A327" i="1"/>
  <c r="A151" i="1"/>
  <c r="A731" i="1"/>
  <c r="A550" i="1"/>
  <c r="A395" i="1"/>
  <c r="A58" i="1"/>
  <c r="A573" i="1"/>
  <c r="A442" i="1"/>
  <c r="A222" i="1"/>
  <c r="A438" i="1"/>
  <c r="A403" i="1"/>
  <c r="A407" i="1"/>
  <c r="A685" i="1"/>
  <c r="A717" i="1"/>
  <c r="A419" i="1"/>
  <c r="A724" i="1"/>
  <c r="A381" i="1"/>
  <c r="A567" i="1"/>
  <c r="A523" i="1"/>
  <c r="A533" i="1"/>
  <c r="A541" i="1"/>
  <c r="A221" i="1"/>
  <c r="A534" i="1"/>
  <c r="A121" i="1"/>
  <c r="A542" i="1"/>
  <c r="A214" i="1"/>
  <c r="A396" i="1"/>
  <c r="A257" i="1"/>
  <c r="A156" i="1"/>
  <c r="A324" i="1"/>
  <c r="A336" i="1"/>
  <c r="A340" i="1"/>
  <c r="A428" i="1"/>
  <c r="A141" i="1"/>
  <c r="A698" i="1"/>
  <c r="A410" i="1"/>
  <c r="A590" i="1"/>
  <c r="A254" i="1"/>
  <c r="A150" i="1"/>
  <c r="A329" i="1"/>
  <c r="A60" i="1"/>
  <c r="A519" i="1"/>
  <c r="A137" i="1"/>
  <c r="A134" i="1"/>
  <c r="A588" i="1"/>
  <c r="A380" i="1"/>
  <c r="A677" i="1"/>
  <c r="A543" i="1"/>
  <c r="A683" i="1"/>
  <c r="A413" i="1"/>
  <c r="A12" i="1"/>
  <c r="A331" i="1"/>
  <c r="A427" i="1"/>
  <c r="A585" i="1"/>
  <c r="A382" i="1"/>
  <c r="A684" i="1"/>
  <c r="A339" i="1"/>
  <c r="A733" i="1"/>
  <c r="A414" i="1"/>
  <c r="A131" i="1"/>
  <c r="A531" i="1"/>
  <c r="A341" i="1"/>
  <c r="A735" i="1"/>
  <c r="A732" i="1"/>
  <c r="A564" i="1"/>
  <c r="A439" i="1"/>
  <c r="A212" i="1"/>
  <c r="A127" i="1"/>
  <c r="A24" i="1"/>
  <c r="A557" i="1"/>
  <c r="A415" i="1"/>
  <c r="A282" i="1"/>
  <c r="A119" i="1"/>
  <c r="A739" i="1"/>
  <c r="A584" i="1"/>
  <c r="A432" i="1"/>
  <c r="A269" i="1"/>
  <c r="A549" i="1"/>
  <c r="A729" i="1"/>
  <c r="A592" i="1"/>
  <c r="A516" i="1"/>
  <c r="A402" i="1"/>
  <c r="A270" i="1"/>
  <c r="A375" i="1"/>
  <c r="A330" i="1"/>
  <c r="A566" i="1"/>
  <c r="A411" i="1"/>
  <c r="A128" i="1"/>
  <c r="A526" i="1"/>
  <c r="A338" i="1"/>
  <c r="A120" i="1"/>
  <c r="A678" i="1"/>
  <c r="A539" i="1"/>
  <c r="A318" i="1"/>
  <c r="A144" i="1"/>
  <c r="A728" i="1"/>
  <c r="A529" i="1"/>
  <c r="A320" i="1"/>
  <c r="A20" i="1"/>
  <c r="A727" i="1"/>
  <c r="A730" i="1"/>
  <c r="A333" i="1"/>
  <c r="A535" i="1"/>
  <c r="A391" i="1"/>
  <c r="A389" i="1"/>
  <c r="A554" i="1"/>
  <c r="A207" i="1"/>
  <c r="A687" i="1"/>
  <c r="A681" i="1"/>
  <c r="A714" i="1"/>
  <c r="A280" i="1"/>
  <c r="A593" i="1"/>
  <c r="A281" i="1"/>
  <c r="A711" i="1"/>
  <c r="A224" i="1"/>
  <c r="A441" i="1"/>
  <c r="A416" i="1"/>
  <c r="A680" i="1"/>
  <c r="A73" i="1"/>
  <c r="A703" i="1"/>
  <c r="A405" i="1"/>
  <c r="A64" i="1"/>
  <c r="A734" i="1"/>
  <c r="A546" i="1"/>
  <c r="A400" i="1"/>
  <c r="A268" i="1"/>
  <c r="A712" i="1"/>
  <c r="A574" i="1"/>
  <c r="A422" i="1"/>
  <c r="A255" i="1"/>
  <c r="A322" i="1"/>
  <c r="A524" i="1"/>
  <c r="A718" i="1"/>
  <c r="A583" i="1"/>
  <c r="A426" i="1"/>
  <c r="A344" i="1"/>
  <c r="A130" i="1"/>
  <c r="A206" i="1"/>
  <c r="A723" i="1"/>
  <c r="A545" i="1"/>
  <c r="A387" i="1"/>
  <c r="A520" i="1"/>
  <c r="A77" i="1"/>
  <c r="A436" i="1"/>
  <c r="A138" i="1"/>
  <c r="A435" i="1"/>
  <c r="A274" i="1"/>
  <c r="A423" i="1"/>
  <c r="A392" i="1"/>
  <c r="A713" i="1"/>
  <c r="A213" i="1"/>
  <c r="A208" i="1"/>
  <c r="A699" i="1"/>
  <c r="A532" i="1"/>
  <c r="A390" i="1"/>
  <c r="A153" i="1"/>
  <c r="A568" i="1"/>
  <c r="A722" i="1"/>
  <c r="A553" i="1"/>
  <c r="A394" i="1"/>
  <c r="A226" i="1"/>
  <c r="A571" i="1"/>
  <c r="A710" i="1"/>
  <c r="A558" i="1"/>
  <c r="A404" i="1"/>
  <c r="A252" i="1"/>
  <c r="A288" i="1"/>
  <c r="A397" i="1"/>
  <c r="A706" i="1"/>
  <c r="A537" i="1"/>
  <c r="A429" i="1"/>
  <c r="A337" i="1"/>
  <c r="A122" i="1"/>
  <c r="A133" i="1"/>
  <c r="A716" i="1"/>
  <c r="A530" i="1"/>
  <c r="A385" i="1"/>
  <c r="A708" i="1"/>
  <c r="A443" i="1"/>
  <c r="A218" i="1"/>
  <c r="A587" i="1"/>
  <c r="A421" i="1"/>
  <c r="A271" i="1"/>
  <c r="A378" i="1"/>
  <c r="A582" i="1"/>
  <c r="A430" i="1"/>
  <c r="A220" i="1"/>
  <c r="A225" i="1"/>
  <c r="A154" i="1"/>
  <c r="A379" i="1"/>
  <c r="A279" i="1"/>
  <c r="A275" i="1"/>
  <c r="A528" i="1"/>
  <c r="A570" i="1"/>
  <c r="A65" i="1"/>
  <c r="A250" i="1"/>
  <c r="A551" i="1"/>
  <c r="A726" i="1"/>
  <c r="A548" i="1"/>
  <c r="A676" i="1"/>
  <c r="A725" i="1"/>
  <c r="A152" i="1"/>
  <c r="A562" i="1"/>
  <c r="A217" i="1"/>
  <c r="A704" i="1"/>
  <c r="A579" i="1"/>
  <c r="A560" i="1"/>
  <c r="A418" i="1"/>
  <c r="A409" i="1"/>
  <c r="A586" i="1"/>
  <c r="A253" i="1"/>
  <c r="A399" i="1"/>
  <c r="A521" i="1"/>
  <c r="A292" i="1"/>
  <c r="A689" i="1"/>
  <c r="A401" i="1"/>
  <c r="A345" i="1"/>
  <c r="A377" i="1"/>
  <c r="A715" i="1"/>
  <c r="A388" i="1"/>
  <c r="A702" i="1"/>
  <c r="A223" i="1"/>
  <c r="A374" i="1"/>
  <c r="A709" i="1"/>
  <c r="A525" i="1"/>
  <c r="A149" i="1"/>
  <c r="A591" i="1"/>
  <c r="A540" i="1"/>
  <c r="A148" i="1"/>
  <c r="A412" i="1"/>
  <c r="A563" i="1"/>
  <c r="A210" i="1"/>
  <c r="A290" i="1"/>
  <c r="A559" i="1"/>
  <c r="A276" i="1"/>
  <c r="A580" i="1"/>
  <c r="A386" i="1"/>
  <c r="A437" i="1"/>
  <c r="A741" i="1"/>
  <c r="A287" i="1"/>
  <c r="A538" i="1"/>
  <c r="A408" i="1"/>
  <c r="A325" i="1"/>
  <c r="A272" i="1"/>
  <c r="A420" i="1"/>
  <c r="A431" i="1"/>
  <c r="A211" i="1"/>
  <c r="A129" i="1"/>
  <c r="A517" i="1"/>
  <c r="A576" i="1"/>
  <c r="A691" i="1"/>
  <c r="A319" i="1"/>
  <c r="A219" i="1"/>
  <c r="A536" i="1"/>
  <c r="A289" i="1"/>
  <c r="A342" i="1"/>
  <c r="A321" i="1"/>
  <c r="A146" i="1"/>
  <c r="A556" i="1"/>
  <c r="A736" i="1"/>
  <c r="A433" i="1"/>
  <c r="A132" i="1"/>
  <c r="A285" i="1"/>
  <c r="A393" i="1"/>
  <c r="A19" i="1"/>
  <c r="A581" i="1"/>
  <c r="A332" i="1"/>
  <c r="A14" i="1"/>
  <c r="A425" i="1"/>
  <c r="A126" i="1"/>
  <c r="A688" i="1"/>
  <c r="A291" i="1"/>
  <c r="A334" i="1"/>
  <c r="A740" i="1"/>
  <c r="A527" i="1"/>
  <c r="A284" i="1"/>
  <c r="A577" i="1"/>
  <c r="A283" i="1"/>
  <c r="A139" i="1"/>
  <c r="A561" i="1"/>
  <c r="A215" i="1"/>
  <c r="A552" i="1"/>
  <c r="A216" i="1"/>
  <c r="A68" i="1"/>
  <c r="A719" i="1"/>
  <c r="A277" i="1"/>
  <c r="A572" i="1"/>
  <c r="F17" i="1"/>
  <c r="J2" i="1"/>
  <c r="A2" i="1" s="1"/>
  <c r="B2" i="1" l="1"/>
  <c r="A17" i="1"/>
  <c r="B119" i="3" s="1" a="1"/>
  <c r="B119" i="3" s="1"/>
  <c r="B17" i="1"/>
  <c r="B76" i="3" l="1" a="1"/>
  <c r="B76" i="3" s="1"/>
  <c r="B4" i="5" s="1"/>
  <c r="K121" i="3" a="1"/>
  <c r="K121" i="3" s="1"/>
  <c r="H7" i="6" s="1"/>
  <c r="B5" i="6"/>
  <c r="L118" i="3" a="1"/>
  <c r="L118" i="3" s="1"/>
  <c r="R118" i="3" s="1"/>
  <c r="H125" i="3" a="1"/>
  <c r="H125" i="3" s="1"/>
  <c r="F11" i="6" s="1"/>
  <c r="F124" i="3" a="1"/>
  <c r="F124" i="3" s="1"/>
  <c r="E10" i="6" s="1"/>
  <c r="L131" i="3" a="1"/>
  <c r="L131" i="3" s="1"/>
  <c r="Q136" i="3" a="1"/>
  <c r="Q136" i="3" s="1"/>
  <c r="P22" i="6" s="1"/>
  <c r="D141" i="3" a="1"/>
  <c r="D141" i="3" s="1"/>
  <c r="C27" i="6" s="1"/>
  <c r="Q139" i="3" a="1"/>
  <c r="Q139" i="3" s="1"/>
  <c r="P25" i="6" s="1"/>
  <c r="E120" i="3" a="1"/>
  <c r="E120" i="3" s="1"/>
  <c r="D6" i="6" s="1"/>
  <c r="H132" i="3" a="1"/>
  <c r="H132" i="3" s="1"/>
  <c r="F18" i="6" s="1"/>
  <c r="E135" i="3" a="1"/>
  <c r="E135" i="3" s="1"/>
  <c r="D21" i="6" s="1"/>
  <c r="H141" i="3" a="1"/>
  <c r="H141" i="3" s="1"/>
  <c r="F27" i="6" s="1"/>
  <c r="M130" i="3" a="1"/>
  <c r="M130" i="3" s="1"/>
  <c r="Q125" i="3" a="1"/>
  <c r="Q125" i="3" s="1"/>
  <c r="P11" i="6" s="1"/>
  <c r="Q138" i="3" a="1"/>
  <c r="Q138" i="3" s="1"/>
  <c r="P24" i="6" s="1"/>
  <c r="Q131" i="3" a="1"/>
  <c r="Q131" i="3" s="1"/>
  <c r="P17" i="6" s="1"/>
  <c r="Q132" i="3" a="1"/>
  <c r="Q132" i="3" s="1"/>
  <c r="P18" i="6" s="1"/>
  <c r="N131" i="3" a="1"/>
  <c r="N131" i="3" s="1"/>
  <c r="M17" i="6" s="1"/>
  <c r="N137" i="3" a="1"/>
  <c r="N137" i="3" s="1"/>
  <c r="M23" i="6" s="1"/>
  <c r="Q122" i="3" a="1"/>
  <c r="Q122" i="3" s="1"/>
  <c r="P8" i="6" s="1"/>
  <c r="D139" i="3" a="1"/>
  <c r="D139" i="3" s="1"/>
  <c r="C25" i="6" s="1"/>
  <c r="Q135" i="3" a="1"/>
  <c r="Q135" i="3" s="1"/>
  <c r="P21" i="6" s="1"/>
  <c r="M132" i="3" a="1"/>
  <c r="M132" i="3" s="1"/>
  <c r="F120" i="3" a="1"/>
  <c r="F120" i="3" s="1"/>
  <c r="E6" i="6" s="1"/>
  <c r="J137" i="3" a="1"/>
  <c r="J137" i="3" s="1"/>
  <c r="G23" i="6" s="1"/>
  <c r="O124" i="3" a="1"/>
  <c r="O124" i="3" s="1"/>
  <c r="N10" i="6" s="1"/>
  <c r="Q121" i="3" a="1"/>
  <c r="Q121" i="3" s="1"/>
  <c r="P7" i="6" s="1"/>
  <c r="Q126" i="3" a="1"/>
  <c r="Q126" i="3" s="1"/>
  <c r="P12" i="6" s="1"/>
  <c r="Q127" i="3" a="1"/>
  <c r="Q127" i="3" s="1"/>
  <c r="P13" i="6" s="1"/>
  <c r="N118" i="3" a="1"/>
  <c r="N118" i="3" s="1"/>
  <c r="M4" i="6" s="1"/>
  <c r="Q134" i="3" a="1"/>
  <c r="Q134" i="3" s="1"/>
  <c r="P20" i="6" s="1"/>
  <c r="M120" i="3" a="1"/>
  <c r="M120" i="3" s="1"/>
  <c r="Q128" i="3" a="1"/>
  <c r="Q128" i="3" s="1"/>
  <c r="P14" i="6" s="1"/>
  <c r="K126" i="3" a="1"/>
  <c r="K126" i="3" s="1"/>
  <c r="H12" i="6" s="1"/>
  <c r="Q120" i="3" a="1"/>
  <c r="Q120" i="3" s="1"/>
  <c r="P6" i="6" s="1"/>
  <c r="O126" i="3" a="1"/>
  <c r="O126" i="3" s="1"/>
  <c r="N12" i="6" s="1"/>
  <c r="B128" i="3" a="1"/>
  <c r="B128" i="3" s="1"/>
  <c r="B14" i="6" s="1"/>
  <c r="E133" i="3" a="1"/>
  <c r="E133" i="3" s="1"/>
  <c r="D19" i="6" s="1"/>
  <c r="B135" i="3" a="1"/>
  <c r="B135" i="3" s="1"/>
  <c r="B21" i="6" s="1"/>
  <c r="Q130" i="3" a="1"/>
  <c r="Q130" i="3" s="1"/>
  <c r="P16" i="6" s="1"/>
  <c r="Q137" i="3" a="1"/>
  <c r="Q137" i="3" s="1"/>
  <c r="P23" i="6" s="1"/>
  <c r="Q123" i="3" a="1"/>
  <c r="Q123" i="3" s="1"/>
  <c r="P9" i="6" s="1"/>
  <c r="Q129" i="3" a="1"/>
  <c r="Q129" i="3" s="1"/>
  <c r="P15" i="6" s="1"/>
  <c r="O136" i="3" a="1"/>
  <c r="O136" i="3" s="1"/>
  <c r="N22" i="6" s="1"/>
  <c r="Q124" i="3" a="1"/>
  <c r="Q124" i="3" s="1"/>
  <c r="P10" i="6" s="1"/>
  <c r="B126" i="3" a="1"/>
  <c r="B126" i="3" s="1"/>
  <c r="B12" i="6" s="1"/>
  <c r="K127" i="3" a="1"/>
  <c r="K127" i="3" s="1"/>
  <c r="H13" i="6" s="1"/>
  <c r="Q133" i="3" a="1"/>
  <c r="Q133" i="3" s="1"/>
  <c r="P19" i="6" s="1"/>
  <c r="D121" i="3" a="1"/>
  <c r="D121" i="3" s="1"/>
  <c r="C7" i="6" s="1"/>
  <c r="D130" i="3" a="1"/>
  <c r="D130" i="3" s="1"/>
  <c r="C16" i="6" s="1"/>
  <c r="H127" i="3" a="1"/>
  <c r="H127" i="3" s="1"/>
  <c r="F13" i="6" s="1"/>
  <c r="E129" i="3" a="1"/>
  <c r="E129" i="3" s="1"/>
  <c r="D15" i="6" s="1"/>
  <c r="Q141" i="3" a="1"/>
  <c r="Q141" i="3" s="1"/>
  <c r="P27" i="6" s="1"/>
  <c r="Q140" i="3" a="1"/>
  <c r="Q140" i="3" s="1"/>
  <c r="P26" i="6" s="1"/>
  <c r="Q119" i="3" a="1"/>
  <c r="Q119" i="3" s="1"/>
  <c r="P5" i="6" s="1"/>
  <c r="M118" i="3" a="1"/>
  <c r="M118" i="3" s="1"/>
  <c r="K4" i="6" s="1"/>
  <c r="N140" i="3" a="1"/>
  <c r="N140" i="3" s="1"/>
  <c r="M26" i="6" s="1"/>
  <c r="J122" i="3" a="1"/>
  <c r="J122" i="3" s="1"/>
  <c r="G8" i="6" s="1"/>
  <c r="H136" i="3" a="1"/>
  <c r="H136" i="3" s="1"/>
  <c r="F22" i="6" s="1"/>
  <c r="K123" i="3" a="1"/>
  <c r="K123" i="3" s="1"/>
  <c r="H9" i="6" s="1"/>
  <c r="O140" i="3" a="1"/>
  <c r="O140" i="3" s="1"/>
  <c r="N26" i="6" s="1"/>
  <c r="N120" i="3" a="1"/>
  <c r="N120" i="3" s="1"/>
  <c r="M6" i="6" s="1"/>
  <c r="B130" i="3" a="1"/>
  <c r="B130" i="3" s="1"/>
  <c r="B16" i="6" s="1"/>
  <c r="P138" i="3" a="1"/>
  <c r="P138" i="3" s="1"/>
  <c r="O24" i="6" s="1"/>
  <c r="M140" i="3" a="1"/>
  <c r="M140" i="3" s="1"/>
  <c r="F131" i="3" a="1"/>
  <c r="F131" i="3" s="1"/>
  <c r="E17" i="6" s="1"/>
  <c r="F127" i="3" a="1"/>
  <c r="F127" i="3" s="1"/>
  <c r="E13" i="6" s="1"/>
  <c r="M138" i="3" a="1"/>
  <c r="M138" i="3" s="1"/>
  <c r="L128" i="3" a="1"/>
  <c r="L128" i="3" s="1"/>
  <c r="N122" i="3" a="1"/>
  <c r="N122" i="3" s="1"/>
  <c r="M8" i="6" s="1"/>
  <c r="N134" i="3" a="1"/>
  <c r="N134" i="3" s="1"/>
  <c r="M20" i="6" s="1"/>
  <c r="M137" i="3" a="1"/>
  <c r="M137" i="3" s="1"/>
  <c r="J140" i="3" a="1"/>
  <c r="J140" i="3" s="1"/>
  <c r="G26" i="6" s="1"/>
  <c r="H140" i="3" a="1"/>
  <c r="H140" i="3" s="1"/>
  <c r="F26" i="6" s="1"/>
  <c r="K136" i="3" a="1"/>
  <c r="K136" i="3" s="1"/>
  <c r="H22" i="6" s="1"/>
  <c r="M131" i="3" a="1"/>
  <c r="M131" i="3" s="1"/>
  <c r="O125" i="3" a="1"/>
  <c r="O125" i="3" s="1"/>
  <c r="N11" i="6" s="1"/>
  <c r="D120" i="3" a="1"/>
  <c r="D120" i="3" s="1"/>
  <c r="C6" i="6" s="1"/>
  <c r="H130" i="3" a="1"/>
  <c r="H130" i="3" s="1"/>
  <c r="F16" i="6" s="1"/>
  <c r="K124" i="3" a="1"/>
  <c r="K124" i="3" s="1"/>
  <c r="H10" i="6" s="1"/>
  <c r="D119" i="3" a="1"/>
  <c r="D119" i="3" s="1"/>
  <c r="C5" i="6" s="1"/>
  <c r="F129" i="3" a="1"/>
  <c r="F129" i="3" s="1"/>
  <c r="E15" i="6" s="1"/>
  <c r="J123" i="3" a="1"/>
  <c r="J123" i="3" s="1"/>
  <c r="G9" i="6" s="1"/>
  <c r="K133" i="3" a="1"/>
  <c r="K133" i="3" s="1"/>
  <c r="H19" i="6" s="1"/>
  <c r="M127" i="3" a="1"/>
  <c r="M127" i="3" s="1"/>
  <c r="P126" i="3" a="1"/>
  <c r="P126" i="3" s="1"/>
  <c r="O12" i="6" s="1"/>
  <c r="P141" i="3" a="1"/>
  <c r="P141" i="3" s="1"/>
  <c r="O27" i="6" s="1"/>
  <c r="P139" i="3" a="1"/>
  <c r="P139" i="3" s="1"/>
  <c r="O25" i="6" s="1"/>
  <c r="P120" i="3" a="1"/>
  <c r="P120" i="3" s="1"/>
  <c r="O6" i="6" s="1"/>
  <c r="N139" i="3" a="1"/>
  <c r="N139" i="3" s="1"/>
  <c r="M25" i="6" s="1"/>
  <c r="E126" i="3" a="1"/>
  <c r="E126" i="3" s="1"/>
  <c r="D12" i="6" s="1"/>
  <c r="B120" i="3" a="1"/>
  <c r="B120" i="3" s="1"/>
  <c r="B6" i="6" s="1"/>
  <c r="N125" i="3" a="1"/>
  <c r="N125" i="3" s="1"/>
  <c r="M11" i="6" s="1"/>
  <c r="L139" i="3" a="1"/>
  <c r="L139" i="3" s="1"/>
  <c r="J132" i="3" a="1"/>
  <c r="J132" i="3" s="1"/>
  <c r="G18" i="6" s="1"/>
  <c r="F125" i="3" a="1"/>
  <c r="F125" i="3" s="1"/>
  <c r="E11" i="6" s="1"/>
  <c r="F134" i="3" a="1"/>
  <c r="F134" i="3" s="1"/>
  <c r="E20" i="6" s="1"/>
  <c r="P122" i="3" a="1"/>
  <c r="P122" i="3" s="1"/>
  <c r="O8" i="6" s="1"/>
  <c r="M121" i="3" a="1"/>
  <c r="M121" i="3" s="1"/>
  <c r="L119" i="3" a="1"/>
  <c r="L119" i="3" s="1"/>
  <c r="D138" i="3" a="1"/>
  <c r="D138" i="3" s="1"/>
  <c r="C24" i="6" s="1"/>
  <c r="E118" i="3" a="1"/>
  <c r="E118" i="3" s="1"/>
  <c r="D4" i="6" s="1"/>
  <c r="L141" i="3" a="1"/>
  <c r="L141" i="3" s="1"/>
  <c r="M124" i="3" a="1"/>
  <c r="M124" i="3" s="1"/>
  <c r="D125" i="3" a="1"/>
  <c r="D125" i="3" s="1"/>
  <c r="C11" i="6" s="1"/>
  <c r="M136" i="3" a="1"/>
  <c r="M136" i="3" s="1"/>
  <c r="D122" i="3" a="1"/>
  <c r="D122" i="3" s="1"/>
  <c r="C8" i="6" s="1"/>
  <c r="K137" i="3" a="1"/>
  <c r="K137" i="3" s="1"/>
  <c r="H23" i="6" s="1"/>
  <c r="B131" i="3" a="1"/>
  <c r="B131" i="3" s="1"/>
  <c r="B17" i="6" s="1"/>
  <c r="E125" i="3" a="1"/>
  <c r="E125" i="3" s="1"/>
  <c r="D11" i="6" s="1"/>
  <c r="H119" i="3" a="1"/>
  <c r="H119" i="3" s="1"/>
  <c r="F5" i="6" s="1"/>
  <c r="L129" i="3" a="1"/>
  <c r="L129" i="3" s="1"/>
  <c r="N123" i="3" a="1"/>
  <c r="N123" i="3" s="1"/>
  <c r="M9" i="6" s="1"/>
  <c r="H134" i="3" a="1"/>
  <c r="H134" i="3" s="1"/>
  <c r="F20" i="6" s="1"/>
  <c r="K128" i="3" a="1"/>
  <c r="K128" i="3" s="1"/>
  <c r="H14" i="6" s="1"/>
  <c r="M122" i="3" a="1"/>
  <c r="M122" i="3" s="1"/>
  <c r="N132" i="3" a="1"/>
  <c r="N132" i="3" s="1"/>
  <c r="M18" i="6" s="1"/>
  <c r="B127" i="3" a="1"/>
  <c r="B127" i="3" s="1"/>
  <c r="B13" i="6" s="1"/>
  <c r="P137" i="3" a="1"/>
  <c r="P137" i="3" s="1"/>
  <c r="O23" i="6" s="1"/>
  <c r="P133" i="3" a="1"/>
  <c r="P133" i="3" s="1"/>
  <c r="O19" i="6" s="1"/>
  <c r="P135" i="3" a="1"/>
  <c r="P135" i="3" s="1"/>
  <c r="O21" i="6" s="1"/>
  <c r="O128" i="3" a="1"/>
  <c r="O128" i="3" s="1"/>
  <c r="N14" i="6" s="1"/>
  <c r="N127" i="3" a="1"/>
  <c r="N127" i="3" s="1"/>
  <c r="M13" i="6" s="1"/>
  <c r="F126" i="3" a="1"/>
  <c r="F126" i="3" s="1"/>
  <c r="E12" i="6" s="1"/>
  <c r="P125" i="3" a="1"/>
  <c r="P125" i="3" s="1"/>
  <c r="O11" i="6" s="1"/>
  <c r="H118" i="3" a="1"/>
  <c r="H118" i="3" s="1"/>
  <c r="F4" i="6" s="1"/>
  <c r="H138" i="3" a="1"/>
  <c r="H138" i="3" s="1"/>
  <c r="F24" i="6" s="1"/>
  <c r="N136" i="3" a="1"/>
  <c r="N136" i="3" s="1"/>
  <c r="M22" i="6" s="1"/>
  <c r="F137" i="3" a="1"/>
  <c r="F137" i="3" s="1"/>
  <c r="E23" i="6" s="1"/>
  <c r="O134" i="3" a="1"/>
  <c r="O134" i="3" s="1"/>
  <c r="N20" i="6" s="1"/>
  <c r="D129" i="3" a="1"/>
  <c r="D129" i="3" s="1"/>
  <c r="C15" i="6" s="1"/>
  <c r="F123" i="3" a="1"/>
  <c r="F123" i="3" s="1"/>
  <c r="E9" i="6" s="1"/>
  <c r="H135" i="3" a="1"/>
  <c r="H135" i="3" s="1"/>
  <c r="F21" i="6" s="1"/>
  <c r="F136" i="3" a="1"/>
  <c r="F136" i="3" s="1"/>
  <c r="E22" i="6" s="1"/>
  <c r="O122" i="3" a="1"/>
  <c r="O122" i="3" s="1"/>
  <c r="N8" i="6" s="1"/>
  <c r="K140" i="3" a="1"/>
  <c r="K140" i="3" s="1"/>
  <c r="H26" i="6" s="1"/>
  <c r="L136" i="3" a="1"/>
  <c r="L136" i="3" s="1"/>
  <c r="F128" i="3" a="1"/>
  <c r="F128" i="3" s="1"/>
  <c r="E14" i="6" s="1"/>
  <c r="M135" i="3" a="1"/>
  <c r="M135" i="3" s="1"/>
  <c r="M133" i="3" a="1"/>
  <c r="M133" i="3" s="1"/>
  <c r="J126" i="3" a="1"/>
  <c r="J126" i="3" s="1"/>
  <c r="G12" i="6" s="1"/>
  <c r="L120" i="3" a="1"/>
  <c r="L120" i="3" s="1"/>
  <c r="N126" i="3" a="1"/>
  <c r="N126" i="3" s="1"/>
  <c r="M12" i="6" s="1"/>
  <c r="N133" i="3" a="1"/>
  <c r="N133" i="3" s="1"/>
  <c r="M19" i="6" s="1"/>
  <c r="B133" i="3" a="1"/>
  <c r="B133" i="3" s="1"/>
  <c r="B19" i="6" s="1"/>
  <c r="O138" i="3" a="1"/>
  <c r="O138" i="3" s="1"/>
  <c r="N24" i="6" s="1"/>
  <c r="D135" i="3" a="1"/>
  <c r="D135" i="3" s="1"/>
  <c r="C21" i="6" s="1"/>
  <c r="K129" i="3" a="1"/>
  <c r="K129" i="3" s="1"/>
  <c r="H15" i="6" s="1"/>
  <c r="M123" i="3" a="1"/>
  <c r="M123" i="3" s="1"/>
  <c r="B134" i="3" a="1"/>
  <c r="B134" i="3" s="1"/>
  <c r="B20" i="6" s="1"/>
  <c r="E128" i="3" a="1"/>
  <c r="E128" i="3" s="1"/>
  <c r="D14" i="6" s="1"/>
  <c r="H122" i="3" a="1"/>
  <c r="H122" i="3" s="1"/>
  <c r="F8" i="6" s="1"/>
  <c r="O132" i="3" a="1"/>
  <c r="O132" i="3" s="1"/>
  <c r="N18" i="6" s="1"/>
  <c r="D127" i="3" a="1"/>
  <c r="D127" i="3" s="1"/>
  <c r="C13" i="6" s="1"/>
  <c r="F121" i="3" a="1"/>
  <c r="F121" i="3" s="1"/>
  <c r="E7" i="6" s="1"/>
  <c r="H131" i="3" a="1"/>
  <c r="H131" i="3" s="1"/>
  <c r="F17" i="6" s="1"/>
  <c r="K125" i="3" a="1"/>
  <c r="K125" i="3" s="1"/>
  <c r="H11" i="6" s="1"/>
  <c r="P121" i="3" a="1"/>
  <c r="P121" i="3" s="1"/>
  <c r="O7" i="6" s="1"/>
  <c r="P140" i="3" a="1"/>
  <c r="P140" i="3" s="1"/>
  <c r="O26" i="6" s="1"/>
  <c r="P127" i="3" a="1"/>
  <c r="P127" i="3" s="1"/>
  <c r="O13" i="6" s="1"/>
  <c r="P134" i="3" a="1"/>
  <c r="P134" i="3" s="1"/>
  <c r="O20" i="6" s="1"/>
  <c r="L124" i="3" a="1"/>
  <c r="L124" i="3" s="1"/>
  <c r="H120" i="3" a="1"/>
  <c r="H120" i="3" s="1"/>
  <c r="F6" i="6" s="1"/>
  <c r="K138" i="3" a="1"/>
  <c r="K138" i="3" s="1"/>
  <c r="H24" i="6" s="1"/>
  <c r="H129" i="3" a="1"/>
  <c r="H129" i="3" s="1"/>
  <c r="F15" i="6" s="1"/>
  <c r="H124" i="3" a="1"/>
  <c r="H124" i="3" s="1"/>
  <c r="F10" i="6" s="1"/>
  <c r="L126" i="3" a="1"/>
  <c r="L126" i="3" s="1"/>
  <c r="N119" i="3" a="1"/>
  <c r="N119" i="3" s="1"/>
  <c r="M5" i="6" s="1"/>
  <c r="J128" i="3" a="1"/>
  <c r="J128" i="3" s="1"/>
  <c r="G14" i="6" s="1"/>
  <c r="D118" i="3" a="1"/>
  <c r="D118" i="3" s="1"/>
  <c r="C4" i="6" s="1"/>
  <c r="H139" i="3" a="1"/>
  <c r="H139" i="3" s="1"/>
  <c r="F25" i="6" s="1"/>
  <c r="K119" i="3" a="1"/>
  <c r="K119" i="3" s="1"/>
  <c r="H5" i="6" s="1"/>
  <c r="F138" i="3" a="1"/>
  <c r="F138" i="3" s="1"/>
  <c r="E24" i="6" s="1"/>
  <c r="F140" i="3" a="1"/>
  <c r="F140" i="3" s="1"/>
  <c r="E26" i="6" s="1"/>
  <c r="O137" i="3" a="1"/>
  <c r="O137" i="3" s="1"/>
  <c r="N23" i="6" s="1"/>
  <c r="O135" i="3" a="1"/>
  <c r="O135" i="3" s="1"/>
  <c r="N21" i="6" s="1"/>
  <c r="J141" i="3" a="1"/>
  <c r="J141" i="3" s="1"/>
  <c r="G27" i="6" s="1"/>
  <c r="D134" i="3" a="1"/>
  <c r="D134" i="3" s="1"/>
  <c r="C20" i="6" s="1"/>
  <c r="O127" i="3" a="1"/>
  <c r="O127" i="3" s="1"/>
  <c r="N13" i="6" s="1"/>
  <c r="N135" i="3" a="1"/>
  <c r="N135" i="3" s="1"/>
  <c r="M21" i="6" s="1"/>
  <c r="B136" i="3" a="1"/>
  <c r="B136" i="3" s="1"/>
  <c r="B22" i="6" s="1"/>
  <c r="N138" i="3" a="1"/>
  <c r="N138" i="3" s="1"/>
  <c r="M24" i="6" s="1"/>
  <c r="E139" i="3" a="1"/>
  <c r="E139" i="3" s="1"/>
  <c r="D25" i="6" s="1"/>
  <c r="N129" i="3" a="1"/>
  <c r="N129" i="3" s="1"/>
  <c r="M15" i="6" s="1"/>
  <c r="E141" i="3" a="1"/>
  <c r="E141" i="3" s="1"/>
  <c r="D27" i="6" s="1"/>
  <c r="L123" i="3" a="1"/>
  <c r="L123" i="3" s="1"/>
  <c r="D137" i="3" a="1"/>
  <c r="D137" i="3" s="1"/>
  <c r="C23" i="6" s="1"/>
  <c r="K141" i="3" a="1"/>
  <c r="K141" i="3" s="1"/>
  <c r="H27" i="6" s="1"/>
  <c r="E127" i="3" a="1"/>
  <c r="E127" i="3" s="1"/>
  <c r="D13" i="6" s="1"/>
  <c r="M129" i="3" a="1"/>
  <c r="M129" i="3" s="1"/>
  <c r="J134" i="3" a="1"/>
  <c r="J134" i="3" s="1"/>
  <c r="G20" i="6" s="1"/>
  <c r="K135" i="3" a="1"/>
  <c r="K135" i="3" s="1"/>
  <c r="H21" i="6" s="1"/>
  <c r="J124" i="3" a="1"/>
  <c r="J124" i="3" s="1"/>
  <c r="G10" i="6" s="1"/>
  <c r="D123" i="3" a="1"/>
  <c r="D123" i="3" s="1"/>
  <c r="C9" i="6" s="1"/>
  <c r="B122" i="3" a="1"/>
  <c r="B122" i="3" s="1"/>
  <c r="B8" i="6" s="1"/>
  <c r="P129" i="3" a="1"/>
  <c r="P129" i="3" s="1"/>
  <c r="O15" i="6" s="1"/>
  <c r="P131" i="3" a="1"/>
  <c r="P131" i="3" s="1"/>
  <c r="O17" i="6" s="1"/>
  <c r="A812" i="1"/>
  <c r="D12" i="4" s="1"/>
  <c r="F12" i="4" s="1"/>
  <c r="J118" i="3" a="1"/>
  <c r="J118" i="3" s="1"/>
  <c r="G4" i="6" s="1"/>
  <c r="F139" i="3" a="1"/>
  <c r="F139" i="3" s="1"/>
  <c r="E25" i="6" s="1"/>
  <c r="H133" i="3" a="1"/>
  <c r="H133" i="3" s="1"/>
  <c r="F19" i="6" s="1"/>
  <c r="F135" i="3" a="1"/>
  <c r="F135" i="3" s="1"/>
  <c r="E21" i="6" s="1"/>
  <c r="E134" i="3" a="1"/>
  <c r="E134" i="3" s="1"/>
  <c r="D20" i="6" s="1"/>
  <c r="H128" i="3" a="1"/>
  <c r="H128" i="3" s="1"/>
  <c r="F14" i="6" s="1"/>
  <c r="K122" i="3" a="1"/>
  <c r="K122" i="3" s="1"/>
  <c r="H8" i="6" s="1"/>
  <c r="L132" i="3" a="1"/>
  <c r="L132" i="3" s="1"/>
  <c r="D140" i="3" a="1"/>
  <c r="D140" i="3" s="1"/>
  <c r="C26" i="6" s="1"/>
  <c r="E122" i="3" a="1"/>
  <c r="E122" i="3" s="1"/>
  <c r="D8" i="6" s="1"/>
  <c r="B140" i="3" a="1"/>
  <c r="B140" i="3" s="1"/>
  <c r="B26" i="6" s="1"/>
  <c r="E136" i="3" a="1"/>
  <c r="E136" i="3" s="1"/>
  <c r="D22" i="6" s="1"/>
  <c r="D126" i="3" a="1"/>
  <c r="D126" i="3" s="1"/>
  <c r="C12" i="6" s="1"/>
  <c r="D133" i="3" a="1"/>
  <c r="D133" i="3" s="1"/>
  <c r="C19" i="6" s="1"/>
  <c r="F132" i="3" a="1"/>
  <c r="F132" i="3" s="1"/>
  <c r="E18" i="6" s="1"/>
  <c r="M125" i="3" a="1"/>
  <c r="M125" i="3" s="1"/>
  <c r="O119" i="3" a="1"/>
  <c r="O119" i="3" s="1"/>
  <c r="N5" i="6" s="1"/>
  <c r="O123" i="3" a="1"/>
  <c r="O123" i="3" s="1"/>
  <c r="N9" i="6" s="1"/>
  <c r="O130" i="3" a="1"/>
  <c r="O130" i="3" s="1"/>
  <c r="N16" i="6" s="1"/>
  <c r="N130" i="3" a="1"/>
  <c r="N130" i="3" s="1"/>
  <c r="M16" i="6" s="1"/>
  <c r="J138" i="3" a="1"/>
  <c r="J138" i="3" s="1"/>
  <c r="G24" i="6" s="1"/>
  <c r="L134" i="3" a="1"/>
  <c r="L134" i="3" s="1"/>
  <c r="N128" i="3" a="1"/>
  <c r="N128" i="3" s="1"/>
  <c r="M14" i="6" s="1"/>
  <c r="B123" i="3" a="1"/>
  <c r="B123" i="3" s="1"/>
  <c r="B9" i="6" s="1"/>
  <c r="F133" i="3" a="1"/>
  <c r="F133" i="3" s="1"/>
  <c r="E19" i="6" s="1"/>
  <c r="J127" i="3" a="1"/>
  <c r="J127" i="3" s="1"/>
  <c r="G13" i="6" s="1"/>
  <c r="L121" i="3" a="1"/>
  <c r="L121" i="3" s="1"/>
  <c r="E132" i="3" a="1"/>
  <c r="E132" i="3" s="1"/>
  <c r="D18" i="6" s="1"/>
  <c r="H126" i="3" a="1"/>
  <c r="H126" i="3" s="1"/>
  <c r="F12" i="6" s="1"/>
  <c r="K120" i="3" a="1"/>
  <c r="K120" i="3" s="1"/>
  <c r="H6" i="6" s="1"/>
  <c r="L130" i="3" a="1"/>
  <c r="L130" i="3" s="1"/>
  <c r="N124" i="3" a="1"/>
  <c r="N124" i="3" s="1"/>
  <c r="M10" i="6" s="1"/>
  <c r="P136" i="3" a="1"/>
  <c r="P136" i="3" s="1"/>
  <c r="O22" i="6" s="1"/>
  <c r="P128" i="3" a="1"/>
  <c r="P128" i="3" s="1"/>
  <c r="O14" i="6" s="1"/>
  <c r="P123" i="3" a="1"/>
  <c r="P123" i="3" s="1"/>
  <c r="O9" i="6" s="1"/>
  <c r="O118" i="3" a="1"/>
  <c r="O118" i="3" s="1"/>
  <c r="N4" i="6" s="1"/>
  <c r="B132" i="3" a="1"/>
  <c r="B132" i="3" s="1"/>
  <c r="B18" i="6" s="1"/>
  <c r="J129" i="3" a="1"/>
  <c r="J129" i="3" s="1"/>
  <c r="G15" i="6" s="1"/>
  <c r="L140" i="3" a="1"/>
  <c r="L140" i="3" s="1"/>
  <c r="M139" i="3" a="1"/>
  <c r="M139" i="3" s="1"/>
  <c r="B137" i="3" a="1"/>
  <c r="B137" i="3" s="1"/>
  <c r="B23" i="6" s="1"/>
  <c r="D131" i="3" a="1"/>
  <c r="D131" i="3" s="1"/>
  <c r="C17" i="6" s="1"/>
  <c r="E124" i="3" a="1"/>
  <c r="E124" i="3" s="1"/>
  <c r="D10" i="6" s="1"/>
  <c r="P130" i="3" a="1"/>
  <c r="P130" i="3" s="1"/>
  <c r="O16" i="6" s="1"/>
  <c r="F141" i="3" a="1"/>
  <c r="F141" i="3" s="1"/>
  <c r="E27" i="6" s="1"/>
  <c r="J125" i="3" a="1"/>
  <c r="J125" i="3" s="1"/>
  <c r="G11" i="6" s="1"/>
  <c r="F119" i="3" a="1"/>
  <c r="F119" i="3" s="1"/>
  <c r="E5" i="6" s="1"/>
  <c r="O141" i="3" a="1"/>
  <c r="O141" i="3" s="1"/>
  <c r="N27" i="6" s="1"/>
  <c r="H137" i="3" a="1"/>
  <c r="H137" i="3" s="1"/>
  <c r="F23" i="6" s="1"/>
  <c r="K130" i="3" a="1"/>
  <c r="K130" i="3" s="1"/>
  <c r="H16" i="6" s="1"/>
  <c r="E140" i="3" a="1"/>
  <c r="E140" i="3" s="1"/>
  <c r="D26" i="6" s="1"/>
  <c r="L137" i="3" a="1"/>
  <c r="L137" i="3" s="1"/>
  <c r="B139" i="3" a="1"/>
  <c r="B139" i="3" s="1"/>
  <c r="B25" i="6" s="1"/>
  <c r="O131" i="3" a="1"/>
  <c r="O131" i="3" s="1"/>
  <c r="N17" i="6" s="1"/>
  <c r="O139" i="3" a="1"/>
  <c r="O139" i="3" s="1"/>
  <c r="N25" i="6" s="1"/>
  <c r="F118" i="3" a="1"/>
  <c r="F118" i="3" s="1"/>
  <c r="E4" i="6" s="1"/>
  <c r="J135" i="3" a="1"/>
  <c r="J135" i="3" s="1"/>
  <c r="G21" i="6" s="1"/>
  <c r="J136" i="3" a="1"/>
  <c r="J136" i="3" s="1"/>
  <c r="G22" i="6" s="1"/>
  <c r="B124" i="3" a="1"/>
  <c r="B124" i="3" s="1"/>
  <c r="B10" i="6" s="1"/>
  <c r="E138" i="3" a="1"/>
  <c r="E138" i="3" s="1"/>
  <c r="D24" i="6" s="1"/>
  <c r="B141" i="3" a="1"/>
  <c r="B141" i="3" s="1"/>
  <c r="B27" i="6" s="1"/>
  <c r="E131" i="3" a="1"/>
  <c r="E131" i="3" s="1"/>
  <c r="D17" i="6" s="1"/>
  <c r="D136" i="3" a="1"/>
  <c r="D136" i="3" s="1"/>
  <c r="C22" i="6" s="1"/>
  <c r="H121" i="3" a="1"/>
  <c r="H121" i="3" s="1"/>
  <c r="F7" i="6" s="1"/>
  <c r="E137" i="3" a="1"/>
  <c r="E137" i="3" s="1"/>
  <c r="D23" i="6" s="1"/>
  <c r="J139" i="3" a="1"/>
  <c r="J139" i="3" s="1"/>
  <c r="G25" i="6" s="1"/>
  <c r="F130" i="3" a="1"/>
  <c r="F130" i="3" s="1"/>
  <c r="E16" i="6" s="1"/>
  <c r="M134" i="3" a="1"/>
  <c r="M134" i="3" s="1"/>
  <c r="L133" i="3" a="1"/>
  <c r="L133" i="3" s="1"/>
  <c r="D132" i="3" a="1"/>
  <c r="D132" i="3" s="1"/>
  <c r="C18" i="6" s="1"/>
  <c r="B118" i="3" a="1"/>
  <c r="B118" i="3" s="1"/>
  <c r="B4" i="6" s="1"/>
  <c r="K118" i="3" a="1"/>
  <c r="K118" i="3" s="1"/>
  <c r="H4" i="6" s="1"/>
  <c r="M141" i="3" a="1"/>
  <c r="M141" i="3" s="1"/>
  <c r="J130" i="3" a="1"/>
  <c r="J130" i="3" s="1"/>
  <c r="G16" i="6" s="1"/>
  <c r="L138" i="3" a="1"/>
  <c r="L138" i="3" s="1"/>
  <c r="J133" i="3" a="1"/>
  <c r="J133" i="3" s="1"/>
  <c r="G19" i="6" s="1"/>
  <c r="L127" i="3" a="1"/>
  <c r="L127" i="3" s="1"/>
  <c r="N121" i="3" a="1"/>
  <c r="N121" i="3" s="1"/>
  <c r="M7" i="6" s="1"/>
  <c r="B129" i="3" a="1"/>
  <c r="B129" i="3" s="1"/>
  <c r="B15" i="6" s="1"/>
  <c r="K134" i="3" a="1"/>
  <c r="K134" i="3" s="1"/>
  <c r="H20" i="6" s="1"/>
  <c r="J121" i="3" a="1"/>
  <c r="J121" i="3" s="1"/>
  <c r="G7" i="6" s="1"/>
  <c r="K139" i="3" a="1"/>
  <c r="K139" i="3" s="1"/>
  <c r="H25" i="6" s="1"/>
  <c r="L135" i="3" a="1"/>
  <c r="L135" i="3" s="1"/>
  <c r="E123" i="3" a="1"/>
  <c r="E123" i="3" s="1"/>
  <c r="D9" i="6" s="1"/>
  <c r="E130" i="3" a="1"/>
  <c r="E130" i="3" s="1"/>
  <c r="D16" i="6" s="1"/>
  <c r="K131" i="3" a="1"/>
  <c r="K131" i="3" s="1"/>
  <c r="H17" i="6" s="1"/>
  <c r="B125" i="3" a="1"/>
  <c r="B125" i="3" s="1"/>
  <c r="B11" i="6" s="1"/>
  <c r="E119" i="3" a="1"/>
  <c r="E119" i="3" s="1"/>
  <c r="D5" i="6" s="1"/>
  <c r="B121" i="3" a="1"/>
  <c r="B121" i="3" s="1"/>
  <c r="B7" i="6" s="1"/>
  <c r="M128" i="3" a="1"/>
  <c r="M128" i="3" s="1"/>
  <c r="N141" i="3" a="1"/>
  <c r="N141" i="3" s="1"/>
  <c r="M27" i="6" s="1"/>
  <c r="B138" i="3" a="1"/>
  <c r="B138" i="3" s="1"/>
  <c r="B24" i="6" s="1"/>
  <c r="O133" i="3" a="1"/>
  <c r="O133" i="3" s="1"/>
  <c r="N19" i="6" s="1"/>
  <c r="D128" i="3" a="1"/>
  <c r="D128" i="3" s="1"/>
  <c r="C14" i="6" s="1"/>
  <c r="F122" i="3" a="1"/>
  <c r="F122" i="3" s="1"/>
  <c r="E8" i="6" s="1"/>
  <c r="K132" i="3" a="1"/>
  <c r="K132" i="3" s="1"/>
  <c r="H18" i="6" s="1"/>
  <c r="M126" i="3" a="1"/>
  <c r="M126" i="3" s="1"/>
  <c r="O120" i="3" a="1"/>
  <c r="O120" i="3" s="1"/>
  <c r="N6" i="6" s="1"/>
  <c r="J131" i="3" a="1"/>
  <c r="J131" i="3" s="1"/>
  <c r="G17" i="6" s="1"/>
  <c r="L125" i="3" a="1"/>
  <c r="L125" i="3" s="1"/>
  <c r="J119" i="3" a="1"/>
  <c r="J119" i="3" s="1"/>
  <c r="G5" i="6" s="1"/>
  <c r="O129" i="3" a="1"/>
  <c r="O129" i="3" s="1"/>
  <c r="N15" i="6" s="1"/>
  <c r="D124" i="3" a="1"/>
  <c r="D124" i="3" s="1"/>
  <c r="C10" i="6" s="1"/>
  <c r="P132" i="3" a="1"/>
  <c r="P132" i="3" s="1"/>
  <c r="O18" i="6" s="1"/>
  <c r="P124" i="3" a="1"/>
  <c r="P124" i="3" s="1"/>
  <c r="O10" i="6" s="1"/>
  <c r="P119" i="3" a="1"/>
  <c r="P119" i="3" s="1"/>
  <c r="O5" i="6" s="1"/>
  <c r="H123" i="3" a="1"/>
  <c r="H123" i="3" s="1"/>
  <c r="F9" i="6" s="1"/>
  <c r="Q118" i="3" a="1"/>
  <c r="Q118" i="3" s="1"/>
  <c r="P4" i="6" s="1"/>
  <c r="P118" i="3" a="1"/>
  <c r="P118" i="3" s="1"/>
  <c r="O4" i="6" s="1"/>
  <c r="O121" i="3" a="1"/>
  <c r="O121" i="3" s="1"/>
  <c r="N7" i="6" s="1"/>
  <c r="Q77" i="3" a="1"/>
  <c r="Q77" i="3" s="1"/>
  <c r="P5" i="5" s="1"/>
  <c r="Q81" i="3" a="1"/>
  <c r="Q81" i="3" s="1"/>
  <c r="P9" i="5" s="1"/>
  <c r="Q85" i="3" a="1"/>
  <c r="Q85" i="3" s="1"/>
  <c r="P13" i="5" s="1"/>
  <c r="Q89" i="3" a="1"/>
  <c r="Q89" i="3" s="1"/>
  <c r="P17" i="5" s="1"/>
  <c r="Q93" i="3" a="1"/>
  <c r="Q93" i="3" s="1"/>
  <c r="P21" i="5" s="1"/>
  <c r="Q97" i="3" a="1"/>
  <c r="Q97" i="3" s="1"/>
  <c r="P25" i="5" s="1"/>
  <c r="Q101" i="3" a="1"/>
  <c r="Q101" i="3" s="1"/>
  <c r="P29" i="5" s="1"/>
  <c r="Q105" i="3" a="1"/>
  <c r="Q105" i="3" s="1"/>
  <c r="P33" i="5" s="1"/>
  <c r="Q109" i="3" a="1"/>
  <c r="Q109" i="3" s="1"/>
  <c r="P37" i="5" s="1"/>
  <c r="Q113" i="3" a="1"/>
  <c r="Q113" i="3" s="1"/>
  <c r="P41" i="5" s="1"/>
  <c r="Q80" i="3" a="1"/>
  <c r="Q80" i="3" s="1"/>
  <c r="P8" i="5" s="1"/>
  <c r="Q92" i="3" a="1"/>
  <c r="Q92" i="3" s="1"/>
  <c r="P20" i="5" s="1"/>
  <c r="Q104" i="3" a="1"/>
  <c r="Q104" i="3" s="1"/>
  <c r="P32" i="5" s="1"/>
  <c r="Q82" i="3" a="1"/>
  <c r="Q82" i="3" s="1"/>
  <c r="P10" i="5" s="1"/>
  <c r="Q86" i="3" a="1"/>
  <c r="Q86" i="3" s="1"/>
  <c r="P14" i="5" s="1"/>
  <c r="Q94" i="3" a="1"/>
  <c r="Q94" i="3" s="1"/>
  <c r="P22" i="5" s="1"/>
  <c r="Q102" i="3" a="1"/>
  <c r="Q102" i="3" s="1"/>
  <c r="P30" i="5" s="1"/>
  <c r="Q110" i="3" a="1"/>
  <c r="Q110" i="3" s="1"/>
  <c r="P38" i="5" s="1"/>
  <c r="Q79" i="3" a="1"/>
  <c r="Q79" i="3" s="1"/>
  <c r="P7" i="5" s="1"/>
  <c r="Q87" i="3" a="1"/>
  <c r="Q87" i="3" s="1"/>
  <c r="P15" i="5" s="1"/>
  <c r="Q95" i="3" a="1"/>
  <c r="Q95" i="3" s="1"/>
  <c r="P23" i="5" s="1"/>
  <c r="Q103" i="3" a="1"/>
  <c r="Q103" i="3" s="1"/>
  <c r="P31" i="5" s="1"/>
  <c r="Q111" i="3" a="1"/>
  <c r="Q111" i="3" s="1"/>
  <c r="P39" i="5" s="1"/>
  <c r="Q84" i="3" a="1"/>
  <c r="Q84" i="3" s="1"/>
  <c r="P12" i="5" s="1"/>
  <c r="Q96" i="3" a="1"/>
  <c r="Q96" i="3" s="1"/>
  <c r="P24" i="5" s="1"/>
  <c r="Q108" i="3" a="1"/>
  <c r="Q108" i="3" s="1"/>
  <c r="P36" i="5" s="1"/>
  <c r="Q78" i="3" a="1"/>
  <c r="Q78" i="3" s="1"/>
  <c r="P6" i="5" s="1"/>
  <c r="Q90" i="3" a="1"/>
  <c r="Q90" i="3" s="1"/>
  <c r="P18" i="5" s="1"/>
  <c r="Q98" i="3" a="1"/>
  <c r="Q98" i="3" s="1"/>
  <c r="P26" i="5" s="1"/>
  <c r="Q106" i="3" a="1"/>
  <c r="Q106" i="3" s="1"/>
  <c r="P34" i="5" s="1"/>
  <c r="Q114" i="3" a="1"/>
  <c r="Q114" i="3" s="1"/>
  <c r="P42" i="5" s="1"/>
  <c r="Q83" i="3" a="1"/>
  <c r="Q83" i="3" s="1"/>
  <c r="P11" i="5" s="1"/>
  <c r="Q91" i="3" a="1"/>
  <c r="Q91" i="3" s="1"/>
  <c r="P19" i="5" s="1"/>
  <c r="Q99" i="3" a="1"/>
  <c r="Q99" i="3" s="1"/>
  <c r="P27" i="5" s="1"/>
  <c r="Q107" i="3" a="1"/>
  <c r="Q107" i="3" s="1"/>
  <c r="P35" i="5" s="1"/>
  <c r="Q115" i="3" a="1"/>
  <c r="Q115" i="3" s="1"/>
  <c r="P43" i="5" s="1"/>
  <c r="Q88" i="3" a="1"/>
  <c r="Q88" i="3" s="1"/>
  <c r="P16" i="5" s="1"/>
  <c r="Q100" i="3" a="1"/>
  <c r="Q100" i="3" s="1"/>
  <c r="P28" i="5" s="1"/>
  <c r="Q112" i="3" a="1"/>
  <c r="Q112" i="3" s="1"/>
  <c r="P40" i="5" s="1"/>
  <c r="Q76" i="3" a="1"/>
  <c r="Q76" i="3" s="1"/>
  <c r="P4" i="5" s="1"/>
  <c r="P77" i="3" a="1"/>
  <c r="P77" i="3" s="1"/>
  <c r="O5" i="5" s="1"/>
  <c r="P81" i="3" a="1"/>
  <c r="P81" i="3" s="1"/>
  <c r="O9" i="5" s="1"/>
  <c r="P85" i="3" a="1"/>
  <c r="P85" i="3" s="1"/>
  <c r="O13" i="5" s="1"/>
  <c r="P89" i="3" a="1"/>
  <c r="P89" i="3" s="1"/>
  <c r="O17" i="5" s="1"/>
  <c r="P93" i="3" a="1"/>
  <c r="P93" i="3" s="1"/>
  <c r="O21" i="5" s="1"/>
  <c r="P97" i="3" a="1"/>
  <c r="P97" i="3" s="1"/>
  <c r="O25" i="5" s="1"/>
  <c r="P101" i="3" a="1"/>
  <c r="P101" i="3" s="1"/>
  <c r="O29" i="5" s="1"/>
  <c r="P105" i="3" a="1"/>
  <c r="P105" i="3" s="1"/>
  <c r="O33" i="5" s="1"/>
  <c r="P109" i="3" a="1"/>
  <c r="P109" i="3" s="1"/>
  <c r="O37" i="5" s="1"/>
  <c r="P113" i="3" a="1"/>
  <c r="P113" i="3" s="1"/>
  <c r="O41" i="5" s="1"/>
  <c r="P80" i="3" a="1"/>
  <c r="P80" i="3" s="1"/>
  <c r="O8" i="5" s="1"/>
  <c r="P92" i="3" a="1"/>
  <c r="P92" i="3" s="1"/>
  <c r="O20" i="5" s="1"/>
  <c r="P104" i="3" a="1"/>
  <c r="P104" i="3" s="1"/>
  <c r="O32" i="5" s="1"/>
  <c r="P82" i="3" a="1"/>
  <c r="P82" i="3" s="1"/>
  <c r="O10" i="5" s="1"/>
  <c r="P86" i="3" a="1"/>
  <c r="P86" i="3" s="1"/>
  <c r="O14" i="5" s="1"/>
  <c r="P94" i="3" a="1"/>
  <c r="P94" i="3" s="1"/>
  <c r="O22" i="5" s="1"/>
  <c r="P102" i="3" a="1"/>
  <c r="P102" i="3" s="1"/>
  <c r="O30" i="5" s="1"/>
  <c r="P114" i="3" a="1"/>
  <c r="P114" i="3" s="1"/>
  <c r="O42" i="5" s="1"/>
  <c r="P83" i="3" a="1"/>
  <c r="P83" i="3" s="1"/>
  <c r="O11" i="5" s="1"/>
  <c r="P87" i="3" a="1"/>
  <c r="P87" i="3" s="1"/>
  <c r="O15" i="5" s="1"/>
  <c r="P95" i="3" a="1"/>
  <c r="P95" i="3" s="1"/>
  <c r="O23" i="5" s="1"/>
  <c r="P103" i="3" a="1"/>
  <c r="P103" i="3" s="1"/>
  <c r="O31" i="5" s="1"/>
  <c r="P111" i="3" a="1"/>
  <c r="P111" i="3" s="1"/>
  <c r="O39" i="5" s="1"/>
  <c r="P88" i="3" a="1"/>
  <c r="P88" i="3" s="1"/>
  <c r="O16" i="5" s="1"/>
  <c r="P100" i="3" a="1"/>
  <c r="P100" i="3" s="1"/>
  <c r="O28" i="5" s="1"/>
  <c r="P112" i="3" a="1"/>
  <c r="P112" i="3" s="1"/>
  <c r="O40" i="5" s="1"/>
  <c r="P78" i="3" a="1"/>
  <c r="P78" i="3" s="1"/>
  <c r="O6" i="5" s="1"/>
  <c r="P90" i="3" a="1"/>
  <c r="P90" i="3" s="1"/>
  <c r="O18" i="5" s="1"/>
  <c r="P98" i="3" a="1"/>
  <c r="P98" i="3" s="1"/>
  <c r="O26" i="5" s="1"/>
  <c r="P106" i="3" a="1"/>
  <c r="P106" i="3" s="1"/>
  <c r="O34" i="5" s="1"/>
  <c r="P110" i="3" a="1"/>
  <c r="P110" i="3" s="1"/>
  <c r="O38" i="5" s="1"/>
  <c r="P79" i="3" a="1"/>
  <c r="P79" i="3" s="1"/>
  <c r="O7" i="5" s="1"/>
  <c r="P91" i="3" a="1"/>
  <c r="P91" i="3" s="1"/>
  <c r="O19" i="5" s="1"/>
  <c r="P99" i="3" a="1"/>
  <c r="P99" i="3" s="1"/>
  <c r="O27" i="5" s="1"/>
  <c r="P107" i="3" a="1"/>
  <c r="P107" i="3" s="1"/>
  <c r="O35" i="5" s="1"/>
  <c r="P115" i="3" a="1"/>
  <c r="P115" i="3" s="1"/>
  <c r="O43" i="5" s="1"/>
  <c r="P84" i="3" a="1"/>
  <c r="P84" i="3" s="1"/>
  <c r="O12" i="5" s="1"/>
  <c r="P96" i="3" a="1"/>
  <c r="P96" i="3" s="1"/>
  <c r="O24" i="5" s="1"/>
  <c r="P108" i="3" a="1"/>
  <c r="P108" i="3" s="1"/>
  <c r="O36" i="5" s="1"/>
  <c r="L122" i="3" a="1"/>
  <c r="L122" i="3" s="1"/>
  <c r="E121" i="3" a="1"/>
  <c r="E121" i="3" s="1"/>
  <c r="D7" i="6" s="1"/>
  <c r="J120" i="3" a="1"/>
  <c r="J120" i="3" s="1"/>
  <c r="G6" i="6" s="1"/>
  <c r="M119" i="3" a="1"/>
  <c r="M119" i="3" s="1"/>
  <c r="O76" i="3" a="1"/>
  <c r="O76" i="3" s="1"/>
  <c r="N4" i="5" s="1"/>
  <c r="P76" i="3" a="1"/>
  <c r="P76" i="3" s="1"/>
  <c r="O4" i="5" s="1"/>
  <c r="N76" i="3" a="1"/>
  <c r="N76" i="3" s="1"/>
  <c r="M4" i="5" s="1"/>
  <c r="F76" i="3" a="1"/>
  <c r="F76" i="3" s="1"/>
  <c r="E4" i="5" s="1"/>
  <c r="M76" i="3" a="1"/>
  <c r="M76" i="3" s="1"/>
  <c r="K4" i="5" s="1"/>
  <c r="E77" i="3" a="1"/>
  <c r="E77" i="3" s="1"/>
  <c r="D5" i="5" s="1"/>
  <c r="B78" i="3" a="1"/>
  <c r="B78" i="3" s="1"/>
  <c r="B6" i="5" s="1"/>
  <c r="N78" i="3" a="1"/>
  <c r="N78" i="3" s="1"/>
  <c r="M6" i="5" s="1"/>
  <c r="L79" i="3" a="1"/>
  <c r="L79" i="3" s="1"/>
  <c r="J7" i="5" s="1"/>
  <c r="D80" i="3" a="1"/>
  <c r="D80" i="3" s="1"/>
  <c r="C8" i="5" s="1"/>
  <c r="O80" i="3" a="1"/>
  <c r="O80" i="3" s="1"/>
  <c r="N8" i="5" s="1"/>
  <c r="M81" i="3" a="1"/>
  <c r="M81" i="3" s="1"/>
  <c r="K9" i="5" s="1"/>
  <c r="K82" i="3" a="1"/>
  <c r="K82" i="3" s="1"/>
  <c r="H10" i="5" s="1"/>
  <c r="B83" i="3" a="1"/>
  <c r="B83" i="3" s="1"/>
  <c r="B11" i="5" s="1"/>
  <c r="N83" i="3" a="1"/>
  <c r="N83" i="3" s="1"/>
  <c r="M11" i="5" s="1"/>
  <c r="L84" i="3" a="1"/>
  <c r="L84" i="3" s="1"/>
  <c r="J12" i="5" s="1"/>
  <c r="J85" i="3" a="1"/>
  <c r="J85" i="3" s="1"/>
  <c r="G13" i="5" s="1"/>
  <c r="O85" i="3" a="1"/>
  <c r="O85" i="3" s="1"/>
  <c r="N13" i="5" s="1"/>
  <c r="M86" i="3" a="1"/>
  <c r="M86" i="3" s="1"/>
  <c r="K14" i="5" s="1"/>
  <c r="K87" i="3" a="1"/>
  <c r="K87" i="3" s="1"/>
  <c r="H15" i="5" s="1"/>
  <c r="H88" i="3" a="1"/>
  <c r="H88" i="3" s="1"/>
  <c r="F16" i="5" s="1"/>
  <c r="N88" i="3" a="1"/>
  <c r="N88" i="3" s="1"/>
  <c r="M16" i="5" s="1"/>
  <c r="L89" i="3" a="1"/>
  <c r="L89" i="3" s="1"/>
  <c r="J17" i="5" s="1"/>
  <c r="J90" i="3" a="1"/>
  <c r="J90" i="3" s="1"/>
  <c r="G18" i="5" s="1"/>
  <c r="F91" i="3" a="1"/>
  <c r="F91" i="3" s="1"/>
  <c r="E19" i="5" s="1"/>
  <c r="M91" i="3" a="1"/>
  <c r="M91" i="3" s="1"/>
  <c r="K19" i="5" s="1"/>
  <c r="K92" i="3" a="1"/>
  <c r="K92" i="3" s="1"/>
  <c r="H20" i="5" s="1"/>
  <c r="H93" i="3" a="1"/>
  <c r="H93" i="3" s="1"/>
  <c r="F21" i="5" s="1"/>
  <c r="E94" i="3" a="1"/>
  <c r="E94" i="3" s="1"/>
  <c r="D22" i="5" s="1"/>
  <c r="L94" i="3" a="1"/>
  <c r="L94" i="3" s="1"/>
  <c r="J22" i="5" s="1"/>
  <c r="J95" i="3" a="1"/>
  <c r="J95" i="3" s="1"/>
  <c r="G23" i="5" s="1"/>
  <c r="F96" i="3" a="1"/>
  <c r="F96" i="3" s="1"/>
  <c r="E24" i="5" s="1"/>
  <c r="D97" i="3" a="1"/>
  <c r="D97" i="3" s="1"/>
  <c r="C25" i="5" s="1"/>
  <c r="K97" i="3" a="1"/>
  <c r="K97" i="3" s="1"/>
  <c r="H25" i="5" s="1"/>
  <c r="H98" i="3" a="1"/>
  <c r="H98" i="3" s="1"/>
  <c r="F26" i="5" s="1"/>
  <c r="E99" i="3" a="1"/>
  <c r="E99" i="3" s="1"/>
  <c r="D27" i="5" s="1"/>
  <c r="B100" i="3" a="1"/>
  <c r="B100" i="3" s="1"/>
  <c r="B28" i="5" s="1"/>
  <c r="J100" i="3" a="1"/>
  <c r="J100" i="3" s="1"/>
  <c r="G28" i="5" s="1"/>
  <c r="F101" i="3" a="1"/>
  <c r="F101" i="3" s="1"/>
  <c r="E29" i="5" s="1"/>
  <c r="D102" i="3" a="1"/>
  <c r="D102" i="3" s="1"/>
  <c r="C30" i="5" s="1"/>
  <c r="O102" i="3" a="1"/>
  <c r="O102" i="3" s="1"/>
  <c r="N30" i="5" s="1"/>
  <c r="H103" i="3" a="1"/>
  <c r="H103" i="3" s="1"/>
  <c r="F31" i="5" s="1"/>
  <c r="H76" i="3" a="1"/>
  <c r="H76" i="3" s="1"/>
  <c r="F4" i="5" s="1"/>
  <c r="L77" i="3" a="1"/>
  <c r="L77" i="3" s="1"/>
  <c r="J5" i="5" s="1"/>
  <c r="J78" i="3" a="1"/>
  <c r="J78" i="3" s="1"/>
  <c r="G6" i="5" s="1"/>
  <c r="F79" i="3" a="1"/>
  <c r="F79" i="3" s="1"/>
  <c r="E7" i="5" s="1"/>
  <c r="M79" i="3" a="1"/>
  <c r="M79" i="3" s="1"/>
  <c r="K7" i="5" s="1"/>
  <c r="K80" i="3" a="1"/>
  <c r="K80" i="3" s="1"/>
  <c r="H8" i="5" s="1"/>
  <c r="H81" i="3" a="1"/>
  <c r="H81" i="3" s="1"/>
  <c r="F9" i="5" s="1"/>
  <c r="E82" i="3" a="1"/>
  <c r="E82" i="3" s="1"/>
  <c r="D10" i="5" s="1"/>
  <c r="L82" i="3" a="1"/>
  <c r="L82" i="3" s="1"/>
  <c r="J10" i="5" s="1"/>
  <c r="J83" i="3" a="1"/>
  <c r="J83" i="3" s="1"/>
  <c r="G11" i="5" s="1"/>
  <c r="F84" i="3" a="1"/>
  <c r="F84" i="3" s="1"/>
  <c r="E12" i="5" s="1"/>
  <c r="D85" i="3" a="1"/>
  <c r="D85" i="3" s="1"/>
  <c r="C13" i="5" s="1"/>
  <c r="K85" i="3" a="1"/>
  <c r="K85" i="3" s="1"/>
  <c r="H13" i="5" s="1"/>
  <c r="H86" i="3" a="1"/>
  <c r="H86" i="3" s="1"/>
  <c r="F14" i="5" s="1"/>
  <c r="E87" i="3" a="1"/>
  <c r="E87" i="3" s="1"/>
  <c r="D15" i="5" s="1"/>
  <c r="B88" i="3" a="1"/>
  <c r="B88" i="3" s="1"/>
  <c r="B16" i="5" s="1"/>
  <c r="J88" i="3" a="1"/>
  <c r="J88" i="3" s="1"/>
  <c r="G16" i="5" s="1"/>
  <c r="F89" i="3" a="1"/>
  <c r="F89" i="3" s="1"/>
  <c r="E17" i="5" s="1"/>
  <c r="D90" i="3" a="1"/>
  <c r="D90" i="3" s="1"/>
  <c r="C18" i="5" s="1"/>
  <c r="O90" i="3" a="1"/>
  <c r="O90" i="3" s="1"/>
  <c r="N18" i="5" s="1"/>
  <c r="H91" i="3" a="1"/>
  <c r="H91" i="3" s="1"/>
  <c r="F19" i="5" s="1"/>
  <c r="E92" i="3" a="1"/>
  <c r="E92" i="3" s="1"/>
  <c r="D20" i="5" s="1"/>
  <c r="B93" i="3" a="1"/>
  <c r="B93" i="3" s="1"/>
  <c r="B21" i="5" s="1"/>
  <c r="N93" i="3" a="1"/>
  <c r="N93" i="3" s="1"/>
  <c r="M21" i="5" s="1"/>
  <c r="F94" i="3" a="1"/>
  <c r="F94" i="3" s="1"/>
  <c r="E22" i="5" s="1"/>
  <c r="D95" i="3" a="1"/>
  <c r="D95" i="3" s="1"/>
  <c r="C23" i="5" s="1"/>
  <c r="O95" i="3" a="1"/>
  <c r="O95" i="3" s="1"/>
  <c r="N23" i="5" s="1"/>
  <c r="M96" i="3" a="1"/>
  <c r="M96" i="3" s="1"/>
  <c r="K24" i="5" s="1"/>
  <c r="E97" i="3" a="1"/>
  <c r="E97" i="3" s="1"/>
  <c r="D25" i="5" s="1"/>
  <c r="B98" i="3" a="1"/>
  <c r="B98" i="3" s="1"/>
  <c r="B26" i="5" s="1"/>
  <c r="N98" i="3" a="1"/>
  <c r="N98" i="3" s="1"/>
  <c r="M26" i="5" s="1"/>
  <c r="L99" i="3" a="1"/>
  <c r="L99" i="3" s="1"/>
  <c r="J27" i="5" s="1"/>
  <c r="D100" i="3" a="1"/>
  <c r="D100" i="3" s="1"/>
  <c r="C28" i="5" s="1"/>
  <c r="O100" i="3" a="1"/>
  <c r="O100" i="3" s="1"/>
  <c r="N28" i="5" s="1"/>
  <c r="M101" i="3" a="1"/>
  <c r="M101" i="3" s="1"/>
  <c r="K29" i="5" s="1"/>
  <c r="K102" i="3" a="1"/>
  <c r="K102" i="3" s="1"/>
  <c r="H30" i="5" s="1"/>
  <c r="B103" i="3" a="1"/>
  <c r="B103" i="3" s="1"/>
  <c r="B31" i="5" s="1"/>
  <c r="N103" i="3" a="1"/>
  <c r="N103" i="3" s="1"/>
  <c r="M31" i="5" s="1"/>
  <c r="L104" i="3" a="1"/>
  <c r="L104" i="3" s="1"/>
  <c r="J32" i="5" s="1"/>
  <c r="J105" i="3" a="1"/>
  <c r="J105" i="3" s="1"/>
  <c r="G33" i="5" s="1"/>
  <c r="O105" i="3" a="1"/>
  <c r="O105" i="3" s="1"/>
  <c r="N33" i="5" s="1"/>
  <c r="J76" i="3" a="1"/>
  <c r="J76" i="3" s="1"/>
  <c r="G4" i="5" s="1"/>
  <c r="F77" i="3" a="1"/>
  <c r="F77" i="3" s="1"/>
  <c r="E5" i="5" s="1"/>
  <c r="D78" i="3" a="1"/>
  <c r="D78" i="3" s="1"/>
  <c r="C6" i="5" s="1"/>
  <c r="O78" i="3" a="1"/>
  <c r="O78" i="3" s="1"/>
  <c r="N6" i="5" s="1"/>
  <c r="H79" i="3" a="1"/>
  <c r="H79" i="3" s="1"/>
  <c r="F7" i="5" s="1"/>
  <c r="E80" i="3" a="1"/>
  <c r="E80" i="3" s="1"/>
  <c r="D8" i="5" s="1"/>
  <c r="B81" i="3" a="1"/>
  <c r="B81" i="3" s="1"/>
  <c r="B9" i="5" s="1"/>
  <c r="N81" i="3" a="1"/>
  <c r="N81" i="3" s="1"/>
  <c r="M9" i="5" s="1"/>
  <c r="F82" i="3" a="1"/>
  <c r="F82" i="3" s="1"/>
  <c r="E10" i="5" s="1"/>
  <c r="D83" i="3" a="1"/>
  <c r="D83" i="3" s="1"/>
  <c r="C11" i="5" s="1"/>
  <c r="O83" i="3" a="1"/>
  <c r="O83" i="3" s="1"/>
  <c r="N11" i="5" s="1"/>
  <c r="M84" i="3" a="1"/>
  <c r="M84" i="3" s="1"/>
  <c r="K12" i="5" s="1"/>
  <c r="E85" i="3" a="1"/>
  <c r="E85" i="3" s="1"/>
  <c r="D13" i="5" s="1"/>
  <c r="B86" i="3" a="1"/>
  <c r="B86" i="3" s="1"/>
  <c r="B14" i="5" s="1"/>
  <c r="N86" i="3" a="1"/>
  <c r="N86" i="3" s="1"/>
  <c r="M14" i="5" s="1"/>
  <c r="L87" i="3" a="1"/>
  <c r="L87" i="3" s="1"/>
  <c r="J15" i="5" s="1"/>
  <c r="D88" i="3" a="1"/>
  <c r="D88" i="3" s="1"/>
  <c r="C16" i="5" s="1"/>
  <c r="O88" i="3" a="1"/>
  <c r="O88" i="3" s="1"/>
  <c r="N16" i="5" s="1"/>
  <c r="M89" i="3" a="1"/>
  <c r="M89" i="3" s="1"/>
  <c r="K17" i="5" s="1"/>
  <c r="K90" i="3" a="1"/>
  <c r="K90" i="3" s="1"/>
  <c r="H18" i="5" s="1"/>
  <c r="B91" i="3" a="1"/>
  <c r="B91" i="3" s="1"/>
  <c r="B19" i="5" s="1"/>
  <c r="N91" i="3" a="1"/>
  <c r="N91" i="3" s="1"/>
  <c r="M19" i="5" s="1"/>
  <c r="L92" i="3" a="1"/>
  <c r="L92" i="3" s="1"/>
  <c r="J20" i="5" s="1"/>
  <c r="J93" i="3" a="1"/>
  <c r="J93" i="3" s="1"/>
  <c r="G21" i="5" s="1"/>
  <c r="O93" i="3" a="1"/>
  <c r="O93" i="3" s="1"/>
  <c r="N21" i="5" s="1"/>
  <c r="M94" i="3" a="1"/>
  <c r="M94" i="3" s="1"/>
  <c r="K22" i="5" s="1"/>
  <c r="K95" i="3" a="1"/>
  <c r="K95" i="3" s="1"/>
  <c r="H23" i="5" s="1"/>
  <c r="H96" i="3" a="1"/>
  <c r="H96" i="3" s="1"/>
  <c r="F24" i="5" s="1"/>
  <c r="N96" i="3" a="1"/>
  <c r="N96" i="3" s="1"/>
  <c r="M24" i="5" s="1"/>
  <c r="L97" i="3" a="1"/>
  <c r="L97" i="3" s="1"/>
  <c r="J25" i="5" s="1"/>
  <c r="J98" i="3" a="1"/>
  <c r="J98" i="3" s="1"/>
  <c r="G26" i="5" s="1"/>
  <c r="F99" i="3" a="1"/>
  <c r="F99" i="3" s="1"/>
  <c r="E27" i="5" s="1"/>
  <c r="M99" i="3" a="1"/>
  <c r="M99" i="3" s="1"/>
  <c r="K27" i="5" s="1"/>
  <c r="K100" i="3" a="1"/>
  <c r="K100" i="3" s="1"/>
  <c r="H28" i="5" s="1"/>
  <c r="H101" i="3" a="1"/>
  <c r="H101" i="3" s="1"/>
  <c r="F29" i="5" s="1"/>
  <c r="E102" i="3" a="1"/>
  <c r="E102" i="3" s="1"/>
  <c r="D30" i="5" s="1"/>
  <c r="L102" i="3" a="1"/>
  <c r="L102" i="3" s="1"/>
  <c r="J30" i="5" s="1"/>
  <c r="J103" i="3" a="1"/>
  <c r="J103" i="3" s="1"/>
  <c r="G31" i="5" s="1"/>
  <c r="F104" i="3" a="1"/>
  <c r="F104" i="3" s="1"/>
  <c r="E32" i="5" s="1"/>
  <c r="D105" i="3" a="1"/>
  <c r="D105" i="3" s="1"/>
  <c r="C33" i="5" s="1"/>
  <c r="K105" i="3" a="1"/>
  <c r="K105" i="3" s="1"/>
  <c r="H33" i="5" s="1"/>
  <c r="H106" i="3" a="1"/>
  <c r="H106" i="3" s="1"/>
  <c r="F34" i="5" s="1"/>
  <c r="L76" i="3" a="1"/>
  <c r="L76" i="3" s="1"/>
  <c r="J4" i="5" s="1"/>
  <c r="H77" i="3" a="1"/>
  <c r="H77" i="3" s="1"/>
  <c r="F5" i="5" s="1"/>
  <c r="F81" i="3" a="1"/>
  <c r="F81" i="3" s="1"/>
  <c r="E9" i="5" s="1"/>
  <c r="B82" i="3" a="1"/>
  <c r="B82" i="3" s="1"/>
  <c r="B10" i="5" s="1"/>
  <c r="M82" i="3" a="1"/>
  <c r="M82" i="3" s="1"/>
  <c r="K10" i="5" s="1"/>
  <c r="F83" i="3" a="1"/>
  <c r="F83" i="3" s="1"/>
  <c r="E11" i="5" s="1"/>
  <c r="B84" i="3" a="1"/>
  <c r="B84" i="3" s="1"/>
  <c r="B12" i="5" s="1"/>
  <c r="L86" i="3" a="1"/>
  <c r="L86" i="3" s="1"/>
  <c r="J14" i="5" s="1"/>
  <c r="H87" i="3" a="1"/>
  <c r="H87" i="3" s="1"/>
  <c r="F15" i="5" s="1"/>
  <c r="O87" i="3" a="1"/>
  <c r="O87" i="3" s="1"/>
  <c r="N15" i="5" s="1"/>
  <c r="L88" i="3" a="1"/>
  <c r="L88" i="3" s="1"/>
  <c r="J16" i="5" s="1"/>
  <c r="H89" i="3" a="1"/>
  <c r="H89" i="3" s="1"/>
  <c r="F17" i="5" s="1"/>
  <c r="F93" i="3" a="1"/>
  <c r="F93" i="3" s="1"/>
  <c r="E21" i="5" s="1"/>
  <c r="B94" i="3" a="1"/>
  <c r="B94" i="3" s="1"/>
  <c r="B22" i="5" s="1"/>
  <c r="K94" i="3" a="1"/>
  <c r="K94" i="3" s="1"/>
  <c r="H22" i="5" s="1"/>
  <c r="F95" i="3" a="1"/>
  <c r="F95" i="3" s="1"/>
  <c r="E23" i="5" s="1"/>
  <c r="B96" i="3" a="1"/>
  <c r="B96" i="3" s="1"/>
  <c r="B24" i="5" s="1"/>
  <c r="O97" i="3" a="1"/>
  <c r="O97" i="3" s="1"/>
  <c r="N25" i="5" s="1"/>
  <c r="L98" i="3" a="1"/>
  <c r="L98" i="3" s="1"/>
  <c r="J26" i="5" s="1"/>
  <c r="H99" i="3" a="1"/>
  <c r="H99" i="3" s="1"/>
  <c r="F27" i="5" s="1"/>
  <c r="O99" i="3" a="1"/>
  <c r="O99" i="3" s="1"/>
  <c r="N27" i="5" s="1"/>
  <c r="L100" i="3" a="1"/>
  <c r="L100" i="3" s="1"/>
  <c r="J28" i="5" s="1"/>
  <c r="O103" i="3" a="1"/>
  <c r="O103" i="3" s="1"/>
  <c r="N31" i="5" s="1"/>
  <c r="J104" i="3" a="1"/>
  <c r="J104" i="3" s="1"/>
  <c r="G32" i="5" s="1"/>
  <c r="D106" i="3" a="1"/>
  <c r="D106" i="3" s="1"/>
  <c r="C34" i="5" s="1"/>
  <c r="K106" i="3" a="1"/>
  <c r="K106" i="3" s="1"/>
  <c r="H34" i="5" s="1"/>
  <c r="B107" i="3" a="1"/>
  <c r="B107" i="3" s="1"/>
  <c r="B35" i="5" s="1"/>
  <c r="N107" i="3" a="1"/>
  <c r="N107" i="3" s="1"/>
  <c r="M35" i="5" s="1"/>
  <c r="F108" i="3" a="1"/>
  <c r="F108" i="3" s="1"/>
  <c r="E36" i="5" s="1"/>
  <c r="D109" i="3" a="1"/>
  <c r="D109" i="3" s="1"/>
  <c r="C37" i="5" s="1"/>
  <c r="O109" i="3" a="1"/>
  <c r="O109" i="3" s="1"/>
  <c r="N37" i="5" s="1"/>
  <c r="M110" i="3" a="1"/>
  <c r="M110" i="3" s="1"/>
  <c r="K38" i="5" s="1"/>
  <c r="D111" i="3" a="1"/>
  <c r="D111" i="3" s="1"/>
  <c r="C39" i="5" s="1"/>
  <c r="J111" i="3" a="1"/>
  <c r="J111" i="3" s="1"/>
  <c r="G39" i="5" s="1"/>
  <c r="N111" i="3" a="1"/>
  <c r="N111" i="3" s="1"/>
  <c r="M39" i="5" s="1"/>
  <c r="E112" i="3" a="1"/>
  <c r="E112" i="3" s="1"/>
  <c r="K112" i="3" a="1"/>
  <c r="K112" i="3" s="1"/>
  <c r="H40" i="5" s="1"/>
  <c r="O112" i="3" a="1"/>
  <c r="O112" i="3" s="1"/>
  <c r="N40" i="5" s="1"/>
  <c r="F113" i="3" a="1"/>
  <c r="F113" i="3" s="1"/>
  <c r="E41" i="5" s="1"/>
  <c r="L113" i="3" a="1"/>
  <c r="L113" i="3" s="1"/>
  <c r="J41" i="5" s="1"/>
  <c r="B114" i="3" a="1"/>
  <c r="B114" i="3" s="1"/>
  <c r="B42" i="5" s="1"/>
  <c r="H114" i="3" a="1"/>
  <c r="H114" i="3" s="1"/>
  <c r="F42" i="5" s="1"/>
  <c r="M114" i="3" a="1"/>
  <c r="M114" i="3" s="1"/>
  <c r="K42" i="5" s="1"/>
  <c r="D115" i="3" a="1"/>
  <c r="D115" i="3" s="1"/>
  <c r="C43" i="5" s="1"/>
  <c r="J115" i="3" a="1"/>
  <c r="J115" i="3" s="1"/>
  <c r="G43" i="5" s="1"/>
  <c r="N115" i="3" a="1"/>
  <c r="N115" i="3" s="1"/>
  <c r="M43" i="5" s="1"/>
  <c r="D76" i="3" a="1"/>
  <c r="D76" i="3" s="1"/>
  <c r="C4" i="5" s="1"/>
  <c r="M78" i="3" a="1"/>
  <c r="M78" i="3" s="1"/>
  <c r="K6" i="5" s="1"/>
  <c r="J79" i="3" a="1"/>
  <c r="J79" i="3" s="1"/>
  <c r="G7" i="5" s="1"/>
  <c r="B80" i="3" a="1"/>
  <c r="B80" i="3" s="1"/>
  <c r="B8" i="5" s="1"/>
  <c r="M80" i="3" a="1"/>
  <c r="M80" i="3" s="1"/>
  <c r="K8" i="5" s="1"/>
  <c r="J81" i="3" a="1"/>
  <c r="J81" i="3" s="1"/>
  <c r="G9" i="5" s="1"/>
  <c r="H83" i="3" a="1"/>
  <c r="H83" i="3" s="1"/>
  <c r="F11" i="5" s="1"/>
  <c r="D84" i="3" a="1"/>
  <c r="D84" i="3" s="1"/>
  <c r="C12" i="5" s="1"/>
  <c r="N84" i="3" a="1"/>
  <c r="N84" i="3" s="1"/>
  <c r="M12" i="5" s="1"/>
  <c r="H85" i="3" a="1"/>
  <c r="H85" i="3" s="1"/>
  <c r="F13" i="5" s="1"/>
  <c r="D86" i="3" a="1"/>
  <c r="D86" i="3" s="1"/>
  <c r="C14" i="5" s="1"/>
  <c r="B90" i="3" a="1"/>
  <c r="B90" i="3" s="1"/>
  <c r="B18" i="5" s="1"/>
  <c r="M90" i="3" a="1"/>
  <c r="M90" i="3" s="1"/>
  <c r="K18" i="5" s="1"/>
  <c r="J91" i="3" a="1"/>
  <c r="J91" i="3" s="1"/>
  <c r="G19" i="5" s="1"/>
  <c r="B92" i="3" a="1"/>
  <c r="B92" i="3" s="1"/>
  <c r="B20" i="5" s="1"/>
  <c r="M92" i="3" a="1"/>
  <c r="M92" i="3" s="1"/>
  <c r="K20" i="5" s="1"/>
  <c r="H95" i="3" a="1"/>
  <c r="H95" i="3" s="1"/>
  <c r="F23" i="5" s="1"/>
  <c r="D96" i="3" a="1"/>
  <c r="D96" i="3" s="1"/>
  <c r="C24" i="5" s="1"/>
  <c r="L96" i="3" a="1"/>
  <c r="L96" i="3" s="1"/>
  <c r="J24" i="5" s="1"/>
  <c r="H97" i="3" a="1"/>
  <c r="H97" i="3" s="1"/>
  <c r="F25" i="5" s="1"/>
  <c r="D98" i="3" a="1"/>
  <c r="D98" i="3" s="1"/>
  <c r="C26" i="5" s="1"/>
  <c r="B102" i="3" a="1"/>
  <c r="B102" i="3" s="1"/>
  <c r="B30" i="5" s="1"/>
  <c r="M102" i="3" a="1"/>
  <c r="M102" i="3" s="1"/>
  <c r="K30" i="5" s="1"/>
  <c r="F103" i="3" a="1"/>
  <c r="F103" i="3" s="1"/>
  <c r="E31" i="5" s="1"/>
  <c r="B105" i="3" a="1"/>
  <c r="B105" i="3" s="1"/>
  <c r="B33" i="5" s="1"/>
  <c r="L105" i="3" a="1"/>
  <c r="L105" i="3" s="1"/>
  <c r="J33" i="5" s="1"/>
  <c r="L106" i="3" a="1"/>
  <c r="L106" i="3" s="1"/>
  <c r="J34" i="5" s="1"/>
  <c r="J107" i="3" a="1"/>
  <c r="J107" i="3" s="1"/>
  <c r="G35" i="5" s="1"/>
  <c r="O107" i="3" a="1"/>
  <c r="O107" i="3" s="1"/>
  <c r="N35" i="5" s="1"/>
  <c r="M108" i="3" a="1"/>
  <c r="M108" i="3" s="1"/>
  <c r="K36" i="5" s="1"/>
  <c r="K109" i="3" a="1"/>
  <c r="K109" i="3" s="1"/>
  <c r="H37" i="5" s="1"/>
  <c r="H110" i="3" a="1"/>
  <c r="H110" i="3" s="1"/>
  <c r="F38" i="5" s="1"/>
  <c r="F112" i="3" a="1"/>
  <c r="F112" i="3" s="1"/>
  <c r="E40" i="5" s="1"/>
  <c r="B113" i="3" a="1"/>
  <c r="B113" i="3" s="1"/>
  <c r="B41" i="5" s="1"/>
  <c r="M113" i="3" a="1"/>
  <c r="M113" i="3" s="1"/>
  <c r="K41" i="5" s="1"/>
  <c r="J114" i="3" a="1"/>
  <c r="J114" i="3" s="1"/>
  <c r="G42" i="5" s="1"/>
  <c r="E115" i="3" a="1"/>
  <c r="E115" i="3" s="1"/>
  <c r="O115" i="3" a="1"/>
  <c r="O115" i="3" s="1"/>
  <c r="N43" i="5" s="1"/>
  <c r="L83" i="3" a="1"/>
  <c r="L83" i="3" s="1"/>
  <c r="J11" i="5" s="1"/>
  <c r="B87" i="3" a="1"/>
  <c r="B87" i="3" s="1"/>
  <c r="B15" i="5" s="1"/>
  <c r="B89" i="3" a="1"/>
  <c r="B89" i="3" s="1"/>
  <c r="B17" i="5" s="1"/>
  <c r="J77" i="3" a="1"/>
  <c r="J77" i="3" s="1"/>
  <c r="G5" i="5" s="1"/>
  <c r="E78" i="3" a="1"/>
  <c r="E78" i="3" s="1"/>
  <c r="D6" i="5" s="1"/>
  <c r="N80" i="3" a="1"/>
  <c r="N80" i="3" s="1"/>
  <c r="M8" i="5" s="1"/>
  <c r="K81" i="3" a="1"/>
  <c r="K81" i="3" s="1"/>
  <c r="H9" i="5" s="1"/>
  <c r="D82" i="3" a="1"/>
  <c r="D82" i="3" s="1"/>
  <c r="C10" i="5" s="1"/>
  <c r="N82" i="3" a="1"/>
  <c r="N82" i="3" s="1"/>
  <c r="M10" i="5" s="1"/>
  <c r="K83" i="3" a="1"/>
  <c r="K83" i="3" s="1"/>
  <c r="H11" i="5" s="1"/>
  <c r="J87" i="3" a="1"/>
  <c r="J87" i="3" s="1"/>
  <c r="G15" i="5" s="1"/>
  <c r="E88" i="3" a="1"/>
  <c r="E88" i="3" s="1"/>
  <c r="D16" i="5" s="1"/>
  <c r="M88" i="3" a="1"/>
  <c r="M88" i="3" s="1"/>
  <c r="K16" i="5" s="1"/>
  <c r="J89" i="3" a="1"/>
  <c r="J89" i="3" s="1"/>
  <c r="G17" i="5" s="1"/>
  <c r="E90" i="3" a="1"/>
  <c r="E90" i="3" s="1"/>
  <c r="D18" i="5" s="1"/>
  <c r="D92" i="3" a="1"/>
  <c r="D92" i="3" s="1"/>
  <c r="C20" i="5" s="1"/>
  <c r="N92" i="3" a="1"/>
  <c r="N92" i="3" s="1"/>
  <c r="M20" i="5" s="1"/>
  <c r="K93" i="3" a="1"/>
  <c r="K93" i="3" s="1"/>
  <c r="H21" i="5" s="1"/>
  <c r="D94" i="3" a="1"/>
  <c r="D94" i="3" s="1"/>
  <c r="C22" i="5" s="1"/>
  <c r="N94" i="3" a="1"/>
  <c r="N94" i="3" s="1"/>
  <c r="M22" i="5" s="1"/>
  <c r="M98" i="3" a="1"/>
  <c r="M98" i="3" s="1"/>
  <c r="K26" i="5" s="1"/>
  <c r="J99" i="3" a="1"/>
  <c r="J99" i="3" s="1"/>
  <c r="G27" i="5" s="1"/>
  <c r="E100" i="3" a="1"/>
  <c r="E100" i="3" s="1"/>
  <c r="D28" i="5" s="1"/>
  <c r="M100" i="3" a="1"/>
  <c r="M100" i="3" s="1"/>
  <c r="K28" i="5" s="1"/>
  <c r="J101" i="3" a="1"/>
  <c r="J101" i="3" s="1"/>
  <c r="G29" i="5" s="1"/>
  <c r="B104" i="3" a="1"/>
  <c r="B104" i="3" s="1"/>
  <c r="B32" i="5" s="1"/>
  <c r="K104" i="3" a="1"/>
  <c r="K104" i="3" s="1"/>
  <c r="H32" i="5" s="1"/>
  <c r="E105" i="3" a="1"/>
  <c r="E105" i="3" s="1"/>
  <c r="D33" i="5" s="1"/>
  <c r="E106" i="3" a="1"/>
  <c r="E106" i="3" s="1"/>
  <c r="D34" i="5" s="1"/>
  <c r="D107" i="3" a="1"/>
  <c r="D107" i="3" s="1"/>
  <c r="C35" i="5" s="1"/>
  <c r="K107" i="3" a="1"/>
  <c r="K107" i="3" s="1"/>
  <c r="H35" i="5" s="1"/>
  <c r="H108" i="3" a="1"/>
  <c r="H108" i="3" s="1"/>
  <c r="F36" i="5" s="1"/>
  <c r="E109" i="3" a="1"/>
  <c r="E109" i="3" s="1"/>
  <c r="D37" i="5" s="1"/>
  <c r="B110" i="3" a="1"/>
  <c r="B110" i="3" s="1"/>
  <c r="B38" i="5" s="1"/>
  <c r="J110" i="3" a="1"/>
  <c r="J110" i="3" s="1"/>
  <c r="G38" i="5" s="1"/>
  <c r="N110" i="3" a="1"/>
  <c r="N110" i="3" s="1"/>
  <c r="M38" i="5" s="1"/>
  <c r="E111" i="3" a="1"/>
  <c r="E111" i="3" s="1"/>
  <c r="K111" i="3" a="1"/>
  <c r="K111" i="3" s="1"/>
  <c r="H39" i="5" s="1"/>
  <c r="O111" i="3" a="1"/>
  <c r="O111" i="3" s="1"/>
  <c r="N39" i="5" s="1"/>
  <c r="L112" i="3" a="1"/>
  <c r="L112" i="3" s="1"/>
  <c r="J40" i="5" s="1"/>
  <c r="H113" i="3" a="1"/>
  <c r="H113" i="3" s="1"/>
  <c r="F41" i="5" s="1"/>
  <c r="D114" i="3" a="1"/>
  <c r="D114" i="3" s="1"/>
  <c r="C42" i="5" s="1"/>
  <c r="N114" i="3" a="1"/>
  <c r="N114" i="3" s="1"/>
  <c r="M42" i="5" s="1"/>
  <c r="K115" i="3" a="1"/>
  <c r="K115" i="3" s="1"/>
  <c r="H43" i="5" s="1"/>
  <c r="O82" i="3" a="1"/>
  <c r="O82" i="3" s="1"/>
  <c r="N10" i="5" s="1"/>
  <c r="F86" i="3" a="1"/>
  <c r="F86" i="3" s="1"/>
  <c r="E14" i="5" s="1"/>
  <c r="F88" i="3" a="1"/>
  <c r="F88" i="3" s="1"/>
  <c r="E16" i="5" s="1"/>
  <c r="E76" i="3" a="1"/>
  <c r="E76" i="3" s="1"/>
  <c r="D4" i="5" s="1"/>
  <c r="K77" i="3" a="1"/>
  <c r="K77" i="3" s="1"/>
  <c r="H5" i="5" s="1"/>
  <c r="F78" i="3" a="1"/>
  <c r="F78" i="3" s="1"/>
  <c r="E6" i="5" s="1"/>
  <c r="B79" i="3" a="1"/>
  <c r="B79" i="3" s="1"/>
  <c r="B7" i="5" s="1"/>
  <c r="K79" i="3" a="1"/>
  <c r="K79" i="3" s="1"/>
  <c r="H7" i="5" s="1"/>
  <c r="F80" i="3" a="1"/>
  <c r="F80" i="3" s="1"/>
  <c r="E8" i="5" s="1"/>
  <c r="E84" i="3" a="1"/>
  <c r="E84" i="3" s="1"/>
  <c r="D12" i="5" s="1"/>
  <c r="O84" i="3" a="1"/>
  <c r="O84" i="3" s="1"/>
  <c r="N12" i="5" s="1"/>
  <c r="L85" i="3" a="1"/>
  <c r="L85" i="3" s="1"/>
  <c r="J13" i="5" s="1"/>
  <c r="E86" i="3" a="1"/>
  <c r="E86" i="3" s="1"/>
  <c r="D14" i="5" s="1"/>
  <c r="O86" i="3" a="1"/>
  <c r="O86" i="3" s="1"/>
  <c r="N14" i="5" s="1"/>
  <c r="K89" i="3" a="1"/>
  <c r="K89" i="3" s="1"/>
  <c r="H17" i="5" s="1"/>
  <c r="F90" i="3" a="1"/>
  <c r="F90" i="3" s="1"/>
  <c r="E18" i="5" s="1"/>
  <c r="N90" i="3" a="1"/>
  <c r="N90" i="3" s="1"/>
  <c r="M18" i="5" s="1"/>
  <c r="K91" i="3" a="1"/>
  <c r="K91" i="3" s="1"/>
  <c r="H19" i="5" s="1"/>
  <c r="F92" i="3" a="1"/>
  <c r="F92" i="3" s="1"/>
  <c r="E20" i="5" s="1"/>
  <c r="E96" i="3" a="1"/>
  <c r="E96" i="3" s="1"/>
  <c r="D24" i="5" s="1"/>
  <c r="O96" i="3" a="1"/>
  <c r="O96" i="3" s="1"/>
  <c r="N24" i="5" s="1"/>
  <c r="J97" i="3" a="1"/>
  <c r="J97" i="3" s="1"/>
  <c r="G25" i="5" s="1"/>
  <c r="E98" i="3" a="1"/>
  <c r="E98" i="3" s="1"/>
  <c r="D26" i="5" s="1"/>
  <c r="O98" i="3" a="1"/>
  <c r="O98" i="3" s="1"/>
  <c r="N26" i="5" s="1"/>
  <c r="N100" i="3" a="1"/>
  <c r="N100" i="3" s="1"/>
  <c r="M28" i="5" s="1"/>
  <c r="K101" i="3" a="1"/>
  <c r="K101" i="3" s="1"/>
  <c r="H29" i="5" s="1"/>
  <c r="F102" i="3" a="1"/>
  <c r="F102" i="3" s="1"/>
  <c r="E30" i="5" s="1"/>
  <c r="N102" i="3" a="1"/>
  <c r="N102" i="3" s="1"/>
  <c r="M30" i="5" s="1"/>
  <c r="K103" i="3" a="1"/>
  <c r="K103" i="3" s="1"/>
  <c r="H31" i="5" s="1"/>
  <c r="D104" i="3" a="1"/>
  <c r="D104" i="3" s="1"/>
  <c r="C32" i="5" s="1"/>
  <c r="M105" i="3" a="1"/>
  <c r="M105" i="3" s="1"/>
  <c r="K33" i="5" s="1"/>
  <c r="F106" i="3" a="1"/>
  <c r="F106" i="3" s="1"/>
  <c r="E34" i="5" s="1"/>
  <c r="M106" i="3" a="1"/>
  <c r="M106" i="3" s="1"/>
  <c r="K34" i="5" s="1"/>
  <c r="E107" i="3" a="1"/>
  <c r="E107" i="3" s="1"/>
  <c r="D35" i="5" s="1"/>
  <c r="B108" i="3" a="1"/>
  <c r="B108" i="3" s="1"/>
  <c r="B36" i="5" s="1"/>
  <c r="N108" i="3" a="1"/>
  <c r="N108" i="3" s="1"/>
  <c r="M36" i="5" s="1"/>
  <c r="L109" i="3" a="1"/>
  <c r="L109" i="3" s="1"/>
  <c r="J37" i="5" s="1"/>
  <c r="D110" i="3" a="1"/>
  <c r="D110" i="3" s="1"/>
  <c r="C38" i="5" s="1"/>
  <c r="B77" i="3" a="1"/>
  <c r="B77" i="3" s="1"/>
  <c r="B5" i="5" s="1"/>
  <c r="M77" i="3" a="1"/>
  <c r="M77" i="3" s="1"/>
  <c r="K5" i="5" s="1"/>
  <c r="L81" i="3" a="1"/>
  <c r="L81" i="3" s="1"/>
  <c r="J9" i="5" s="1"/>
  <c r="H82" i="3" a="1"/>
  <c r="H82" i="3" s="1"/>
  <c r="F10" i="5" s="1"/>
  <c r="H84" i="3" a="1"/>
  <c r="H84" i="3" s="1"/>
  <c r="F12" i="5" s="1"/>
  <c r="M87" i="3" a="1"/>
  <c r="M87" i="3" s="1"/>
  <c r="K15" i="5" s="1"/>
  <c r="O77" i="3" a="1"/>
  <c r="O77" i="3" s="1"/>
  <c r="N5" i="5" s="1"/>
  <c r="H90" i="3" a="1"/>
  <c r="H90" i="3" s="1"/>
  <c r="F18" i="5" s="1"/>
  <c r="L91" i="3" a="1"/>
  <c r="L91" i="3" s="1"/>
  <c r="J19" i="5" s="1"/>
  <c r="D93" i="3" a="1"/>
  <c r="D93" i="3" s="1"/>
  <c r="C21" i="5" s="1"/>
  <c r="M95" i="3" a="1"/>
  <c r="M95" i="3" s="1"/>
  <c r="K23" i="5" s="1"/>
  <c r="B97" i="3" a="1"/>
  <c r="B97" i="3" s="1"/>
  <c r="B25" i="5" s="1"/>
  <c r="H102" i="3" a="1"/>
  <c r="H102" i="3" s="1"/>
  <c r="F30" i="5" s="1"/>
  <c r="L103" i="3" a="1"/>
  <c r="L103" i="3" s="1"/>
  <c r="J31" i="5" s="1"/>
  <c r="N104" i="3" a="1"/>
  <c r="N104" i="3" s="1"/>
  <c r="M32" i="5" s="1"/>
  <c r="N105" i="3" a="1"/>
  <c r="N105" i="3" s="1"/>
  <c r="M33" i="5" s="1"/>
  <c r="H109" i="3" a="1"/>
  <c r="H109" i="3" s="1"/>
  <c r="F37" i="5" s="1"/>
  <c r="E110" i="3" a="1"/>
  <c r="E110" i="3" s="1"/>
  <c r="J112" i="3" a="1"/>
  <c r="J112" i="3" s="1"/>
  <c r="G40" i="5" s="1"/>
  <c r="O113" i="3" a="1"/>
  <c r="O113" i="3" s="1"/>
  <c r="N41" i="5" s="1"/>
  <c r="H115" i="3" a="1"/>
  <c r="H115" i="3" s="1"/>
  <c r="F43" i="5" s="1"/>
  <c r="B99" i="3" a="1"/>
  <c r="B99" i="3" s="1"/>
  <c r="B27" i="5" s="1"/>
  <c r="F105" i="3" a="1"/>
  <c r="F105" i="3" s="1"/>
  <c r="E33" i="5" s="1"/>
  <c r="F111" i="3" a="1"/>
  <c r="F111" i="3" s="1"/>
  <c r="E39" i="5" s="1"/>
  <c r="J113" i="3" a="1"/>
  <c r="J113" i="3" s="1"/>
  <c r="G41" i="5" s="1"/>
  <c r="L115" i="3" a="1"/>
  <c r="L115" i="3" s="1"/>
  <c r="J43" i="5" s="1"/>
  <c r="L80" i="3" a="1"/>
  <c r="L80" i="3" s="1"/>
  <c r="J8" i="5" s="1"/>
  <c r="N85" i="3" a="1"/>
  <c r="N85" i="3" s="1"/>
  <c r="M13" i="5" s="1"/>
  <c r="H92" i="3" a="1"/>
  <c r="H92" i="3" s="1"/>
  <c r="F20" i="5" s="1"/>
  <c r="M97" i="3" a="1"/>
  <c r="M97" i="3" s="1"/>
  <c r="K25" i="5" s="1"/>
  <c r="E104" i="3" a="1"/>
  <c r="E104" i="3" s="1"/>
  <c r="D32" i="5" s="1"/>
  <c r="O108" i="3" a="1"/>
  <c r="O108" i="3" s="1"/>
  <c r="N36" i="5" s="1"/>
  <c r="D81" i="3" a="1"/>
  <c r="D81" i="3" s="1"/>
  <c r="C9" i="5" s="1"/>
  <c r="E95" i="3" a="1"/>
  <c r="E95" i="3" s="1"/>
  <c r="D23" i="5" s="1"/>
  <c r="N101" i="3" a="1"/>
  <c r="N101" i="3" s="1"/>
  <c r="M29" i="5" s="1"/>
  <c r="B109" i="3" a="1"/>
  <c r="B109" i="3" s="1"/>
  <c r="B37" i="5" s="1"/>
  <c r="H111" i="3" a="1"/>
  <c r="H111" i="3" s="1"/>
  <c r="F39" i="5" s="1"/>
  <c r="K113" i="3" a="1"/>
  <c r="K113" i="3" s="1"/>
  <c r="H41" i="5" s="1"/>
  <c r="M115" i="3" a="1"/>
  <c r="M115" i="3" s="1"/>
  <c r="K43" i="5" s="1"/>
  <c r="K84" i="3" a="1"/>
  <c r="K84" i="3" s="1"/>
  <c r="H12" i="5" s="1"/>
  <c r="K96" i="3" a="1"/>
  <c r="K96" i="3" s="1"/>
  <c r="H24" i="5" s="1"/>
  <c r="E103" i="3" a="1"/>
  <c r="E103" i="3" s="1"/>
  <c r="D31" i="5" s="1"/>
  <c r="E108" i="3" a="1"/>
  <c r="E108" i="3" s="1"/>
  <c r="D36" i="5" s="1"/>
  <c r="L95" i="3" a="1"/>
  <c r="L95" i="3" s="1"/>
  <c r="J23" i="5" s="1"/>
  <c r="N106" i="3" a="1"/>
  <c r="N106" i="3" s="1"/>
  <c r="M34" i="5" s="1"/>
  <c r="O110" i="3" a="1"/>
  <c r="O110" i="3" s="1"/>
  <c r="N38" i="5" s="1"/>
  <c r="N113" i="3" a="1"/>
  <c r="N113" i="3" s="1"/>
  <c r="M41" i="5" s="1"/>
  <c r="K76" i="3" a="1"/>
  <c r="K76" i="3" s="1"/>
  <c r="H4" i="5" s="1"/>
  <c r="H78" i="3" a="1"/>
  <c r="H78" i="3" s="1"/>
  <c r="F6" i="5" s="1"/>
  <c r="O79" i="3" a="1"/>
  <c r="O79" i="3" s="1"/>
  <c r="N7" i="5" s="1"/>
  <c r="O81" i="3" a="1"/>
  <c r="O81" i="3" s="1"/>
  <c r="N9" i="5" s="1"/>
  <c r="M83" i="3" a="1"/>
  <c r="M83" i="3" s="1"/>
  <c r="K11" i="5" s="1"/>
  <c r="F85" i="3" a="1"/>
  <c r="F85" i="3" s="1"/>
  <c r="E13" i="5" s="1"/>
  <c r="D87" i="3" a="1"/>
  <c r="D87" i="3" s="1"/>
  <c r="C15" i="5" s="1"/>
  <c r="E93" i="3" a="1"/>
  <c r="E93" i="3" s="1"/>
  <c r="D21" i="5" s="1"/>
  <c r="J94" i="3" a="1"/>
  <c r="J94" i="3" s="1"/>
  <c r="G22" i="5" s="1"/>
  <c r="N99" i="3" a="1"/>
  <c r="N99" i="3" s="1"/>
  <c r="M27" i="5" s="1"/>
  <c r="D101" i="3" a="1"/>
  <c r="D101" i="3" s="1"/>
  <c r="C29" i="5" s="1"/>
  <c r="M103" i="3" a="1"/>
  <c r="M103" i="3" s="1"/>
  <c r="K31" i="5" s="1"/>
  <c r="B106" i="3" a="1"/>
  <c r="B106" i="3" s="1"/>
  <c r="B34" i="5" s="1"/>
  <c r="O106" i="3" a="1"/>
  <c r="O106" i="3" s="1"/>
  <c r="N34" i="5" s="1"/>
  <c r="M107" i="3" a="1"/>
  <c r="M107" i="3" s="1"/>
  <c r="K35" i="5" s="1"/>
  <c r="K108" i="3" a="1"/>
  <c r="K108" i="3" s="1"/>
  <c r="H36" i="5" s="1"/>
  <c r="B111" i="3" a="1"/>
  <c r="B111" i="3" s="1"/>
  <c r="B39" i="5" s="1"/>
  <c r="M111" i="3" a="1"/>
  <c r="M111" i="3" s="1"/>
  <c r="K39" i="5" s="1"/>
  <c r="E113" i="3" a="1"/>
  <c r="E113" i="3" s="1"/>
  <c r="L114" i="3" a="1"/>
  <c r="L114" i="3" s="1"/>
  <c r="J42" i="5" s="1"/>
  <c r="O94" i="3" a="1"/>
  <c r="O94" i="3" s="1"/>
  <c r="N22" i="5" s="1"/>
  <c r="M109" i="3" a="1"/>
  <c r="M109" i="3" s="1"/>
  <c r="K37" i="5" s="1"/>
  <c r="B112" i="3" a="1"/>
  <c r="B112" i="3" s="1"/>
  <c r="B40" i="5" s="1"/>
  <c r="E114" i="3" a="1"/>
  <c r="E114" i="3" s="1"/>
  <c r="D77" i="3" a="1"/>
  <c r="D77" i="3" s="1"/>
  <c r="C5" i="5" s="1"/>
  <c r="J82" i="3" a="1"/>
  <c r="J82" i="3" s="1"/>
  <c r="G10" i="5" s="1"/>
  <c r="N87" i="3" a="1"/>
  <c r="N87" i="3" s="1"/>
  <c r="M15" i="5" s="1"/>
  <c r="J96" i="3" a="1"/>
  <c r="J96" i="3" s="1"/>
  <c r="G24" i="5" s="1"/>
  <c r="L101" i="3" a="1"/>
  <c r="L101" i="3" s="1"/>
  <c r="J29" i="5" s="1"/>
  <c r="F107" i="3" a="1"/>
  <c r="F107" i="3" s="1"/>
  <c r="E35" i="5" s="1"/>
  <c r="J86" i="3" a="1"/>
  <c r="J86" i="3" s="1"/>
  <c r="G14" i="5" s="1"/>
  <c r="M93" i="3" a="1"/>
  <c r="M93" i="3" s="1"/>
  <c r="K21" i="5" s="1"/>
  <c r="H100" i="3" a="1"/>
  <c r="H100" i="3" s="1"/>
  <c r="F28" i="5" s="1"/>
  <c r="J106" i="3" a="1"/>
  <c r="J106" i="3" s="1"/>
  <c r="G34" i="5" s="1"/>
  <c r="L110" i="3" a="1"/>
  <c r="L110" i="3" s="1"/>
  <c r="J38" i="5" s="1"/>
  <c r="D112" i="3" a="1"/>
  <c r="D112" i="3" s="1"/>
  <c r="C40" i="5" s="1"/>
  <c r="F114" i="3" a="1"/>
  <c r="F114" i="3" s="1"/>
  <c r="E42" i="5" s="1"/>
  <c r="E81" i="3" a="1"/>
  <c r="E81" i="3" s="1"/>
  <c r="D9" i="5" s="1"/>
  <c r="O89" i="3" a="1"/>
  <c r="O89" i="3" s="1"/>
  <c r="N17" i="5" s="1"/>
  <c r="N97" i="3" a="1"/>
  <c r="N97" i="3" s="1"/>
  <c r="M25" i="5" s="1"/>
  <c r="H104" i="3" a="1"/>
  <c r="H104" i="3" s="1"/>
  <c r="F32" i="5" s="1"/>
  <c r="O92" i="3" a="1"/>
  <c r="O92" i="3" s="1"/>
  <c r="N20" i="5" s="1"/>
  <c r="K99" i="3" a="1"/>
  <c r="K99" i="3" s="1"/>
  <c r="H27" i="5" s="1"/>
  <c r="L107" i="3" a="1"/>
  <c r="L107" i="3" s="1"/>
  <c r="J35" i="5" s="1"/>
  <c r="L111" i="3" a="1"/>
  <c r="L111" i="3" s="1"/>
  <c r="J39" i="5" s="1"/>
  <c r="K114" i="3" a="1"/>
  <c r="K114" i="3" s="1"/>
  <c r="H42" i="5" s="1"/>
  <c r="K78" i="3" a="1"/>
  <c r="K78" i="3" s="1"/>
  <c r="H6" i="5" s="1"/>
  <c r="H80" i="3" a="1"/>
  <c r="H80" i="3" s="1"/>
  <c r="F8" i="5" s="1"/>
  <c r="M85" i="3" a="1"/>
  <c r="M85" i="3" s="1"/>
  <c r="K13" i="5" s="1"/>
  <c r="F87" i="3" a="1"/>
  <c r="F87" i="3" s="1"/>
  <c r="E15" i="5" s="1"/>
  <c r="D89" i="3" a="1"/>
  <c r="D89" i="3" s="1"/>
  <c r="C17" i="5" s="1"/>
  <c r="L90" i="3" a="1"/>
  <c r="L90" i="3" s="1"/>
  <c r="J18" i="5" s="1"/>
  <c r="O91" i="3" a="1"/>
  <c r="O91" i="3" s="1"/>
  <c r="N19" i="5" s="1"/>
  <c r="N95" i="3" a="1"/>
  <c r="N95" i="3" s="1"/>
  <c r="M23" i="5" s="1"/>
  <c r="F97" i="3" a="1"/>
  <c r="F97" i="3" s="1"/>
  <c r="E25" i="5" s="1"/>
  <c r="K98" i="3" a="1"/>
  <c r="K98" i="3" s="1"/>
  <c r="H26" i="5" s="1"/>
  <c r="E101" i="3" a="1"/>
  <c r="E101" i="3" s="1"/>
  <c r="D29" i="5" s="1"/>
  <c r="J102" i="3" a="1"/>
  <c r="J102" i="3" s="1"/>
  <c r="G30" i="5" s="1"/>
  <c r="O104" i="3" a="1"/>
  <c r="O104" i="3" s="1"/>
  <c r="N32" i="5" s="1"/>
  <c r="L108" i="3" a="1"/>
  <c r="L108" i="3" s="1"/>
  <c r="J36" i="5" s="1"/>
  <c r="J109" i="3" a="1"/>
  <c r="J109" i="3" s="1"/>
  <c r="G37" i="5" s="1"/>
  <c r="F110" i="3" a="1"/>
  <c r="F110" i="3" s="1"/>
  <c r="E38" i="5" s="1"/>
  <c r="L78" i="3" a="1"/>
  <c r="L78" i="3" s="1"/>
  <c r="J6" i="5" s="1"/>
  <c r="J80" i="3" a="1"/>
  <c r="J80" i="3" s="1"/>
  <c r="G8" i="5" s="1"/>
  <c r="E89" i="3" a="1"/>
  <c r="E89" i="3" s="1"/>
  <c r="D17" i="5" s="1"/>
  <c r="L93" i="3" a="1"/>
  <c r="L93" i="3" s="1"/>
  <c r="J21" i="5" s="1"/>
  <c r="F100" i="3" a="1"/>
  <c r="F100" i="3" s="1"/>
  <c r="E28" i="5" s="1"/>
  <c r="K110" i="3" a="1"/>
  <c r="K110" i="3" s="1"/>
  <c r="H38" i="5" s="1"/>
  <c r="M112" i="3" a="1"/>
  <c r="M112" i="3" s="1"/>
  <c r="K40" i="5" s="1"/>
  <c r="O114" i="3" a="1"/>
  <c r="O114" i="3" s="1"/>
  <c r="N42" i="5" s="1"/>
  <c r="D79" i="3" a="1"/>
  <c r="D79" i="3" s="1"/>
  <c r="C7" i="5" s="1"/>
  <c r="J84" i="3" a="1"/>
  <c r="J84" i="3" s="1"/>
  <c r="G12" i="5" s="1"/>
  <c r="D91" i="3" a="1"/>
  <c r="D91" i="3" s="1"/>
  <c r="C19" i="5" s="1"/>
  <c r="B95" i="3" a="1"/>
  <c r="B95" i="3" s="1"/>
  <c r="B23" i="5" s="1"/>
  <c r="D103" i="3" a="1"/>
  <c r="D103" i="3" s="1"/>
  <c r="C31" i="5" s="1"/>
  <c r="D108" i="3" a="1"/>
  <c r="D108" i="3" s="1"/>
  <c r="C36" i="5" s="1"/>
  <c r="N89" i="3" a="1"/>
  <c r="N89" i="3" s="1"/>
  <c r="M17" i="5" s="1"/>
  <c r="J92" i="3" a="1"/>
  <c r="J92" i="3" s="1"/>
  <c r="G20" i="5" s="1"/>
  <c r="D99" i="3" a="1"/>
  <c r="D99" i="3" s="1"/>
  <c r="C27" i="5" s="1"/>
  <c r="H105" i="3" a="1"/>
  <c r="H105" i="3" s="1"/>
  <c r="F33" i="5" s="1"/>
  <c r="N109" i="3" a="1"/>
  <c r="N109" i="3" s="1"/>
  <c r="M37" i="5" s="1"/>
  <c r="N112" i="3" a="1"/>
  <c r="N112" i="3" s="1"/>
  <c r="M40" i="5" s="1"/>
  <c r="B115" i="3" a="1"/>
  <c r="B115" i="3" s="1"/>
  <c r="B43" i="5" s="1"/>
  <c r="E79" i="3" a="1"/>
  <c r="E79" i="3" s="1"/>
  <c r="D7" i="5" s="1"/>
  <c r="E91" i="3" a="1"/>
  <c r="E91" i="3" s="1"/>
  <c r="D19" i="5" s="1"/>
  <c r="O101" i="3" a="1"/>
  <c r="O101" i="3" s="1"/>
  <c r="N29" i="5" s="1"/>
  <c r="H107" i="3" a="1"/>
  <c r="H107" i="3" s="1"/>
  <c r="F35" i="5" s="1"/>
  <c r="H94" i="3" a="1"/>
  <c r="H94" i="3" s="1"/>
  <c r="F22" i="5" s="1"/>
  <c r="B101" i="3" a="1"/>
  <c r="B101" i="3" s="1"/>
  <c r="B29" i="5" s="1"/>
  <c r="J108" i="3" a="1"/>
  <c r="J108" i="3" s="1"/>
  <c r="G36" i="5" s="1"/>
  <c r="H112" i="3" a="1"/>
  <c r="H112" i="3" s="1"/>
  <c r="F40" i="5" s="1"/>
  <c r="F115" i="3" a="1"/>
  <c r="F115" i="3" s="1"/>
  <c r="E43" i="5" s="1"/>
  <c r="N77" i="3" a="1"/>
  <c r="N77" i="3" s="1"/>
  <c r="M5" i="5" s="1"/>
  <c r="N79" i="3" a="1"/>
  <c r="N79" i="3" s="1"/>
  <c r="M7" i="5" s="1"/>
  <c r="E83" i="3" a="1"/>
  <c r="E83" i="3" s="1"/>
  <c r="D11" i="5" s="1"/>
  <c r="B85" i="3" a="1"/>
  <c r="B85" i="3" s="1"/>
  <c r="B13" i="5" s="1"/>
  <c r="K86" i="3" a="1"/>
  <c r="K86" i="3" s="1"/>
  <c r="H14" i="5" s="1"/>
  <c r="K88" i="3" a="1"/>
  <c r="K88" i="3" s="1"/>
  <c r="H16" i="5" s="1"/>
  <c r="F98" i="3" a="1"/>
  <c r="F98" i="3" s="1"/>
  <c r="E26" i="5" s="1"/>
  <c r="M104" i="3" a="1"/>
  <c r="M104" i="3" s="1"/>
  <c r="K32" i="5" s="1"/>
  <c r="F109" i="3" a="1"/>
  <c r="F109" i="3" s="1"/>
  <c r="E37" i="5" s="1"/>
  <c r="D113" i="3" a="1"/>
  <c r="D113" i="3" s="1"/>
  <c r="C41" i="5" s="1"/>
  <c r="B812" i="1"/>
  <c r="J4" i="6" l="1"/>
  <c r="K6" i="6"/>
  <c r="S120" i="3"/>
  <c r="K23" i="6"/>
  <c r="S137" i="3"/>
  <c r="J12" i="6"/>
  <c r="R126" i="3"/>
  <c r="J27" i="6"/>
  <c r="R141" i="3"/>
  <c r="K12" i="6"/>
  <c r="S126" i="3"/>
  <c r="K25" i="6"/>
  <c r="S139" i="3"/>
  <c r="K11" i="6"/>
  <c r="S125" i="3"/>
  <c r="J26" i="6"/>
  <c r="R140" i="3"/>
  <c r="J14" i="6"/>
  <c r="R128" i="3"/>
  <c r="J13" i="6"/>
  <c r="R127" i="3"/>
  <c r="J19" i="6"/>
  <c r="R133" i="3"/>
  <c r="K21" i="6"/>
  <c r="S135" i="3"/>
  <c r="K7" i="6"/>
  <c r="S121" i="3"/>
  <c r="K14" i="6"/>
  <c r="S128" i="3"/>
  <c r="J15" i="6"/>
  <c r="R129" i="3"/>
  <c r="K27" i="6"/>
  <c r="S141" i="3"/>
  <c r="K15" i="6"/>
  <c r="S129" i="3"/>
  <c r="J6" i="6"/>
  <c r="R120" i="3"/>
  <c r="J25" i="6"/>
  <c r="R139" i="3"/>
  <c r="J16" i="6"/>
  <c r="R130" i="3"/>
  <c r="K13" i="6"/>
  <c r="S127" i="3"/>
  <c r="K16" i="6"/>
  <c r="S130" i="3"/>
  <c r="J8" i="6"/>
  <c r="R122" i="3"/>
  <c r="J20" i="6"/>
  <c r="R134" i="3"/>
  <c r="J5" i="6"/>
  <c r="R119" i="3"/>
  <c r="K17" i="6"/>
  <c r="S131" i="3"/>
  <c r="J11" i="6"/>
  <c r="R125" i="3"/>
  <c r="K20" i="6"/>
  <c r="S134" i="3"/>
  <c r="J23" i="6"/>
  <c r="R137" i="3"/>
  <c r="J9" i="6"/>
  <c r="R123" i="3"/>
  <c r="J10" i="6"/>
  <c r="R124" i="3"/>
  <c r="K22" i="6"/>
  <c r="S136" i="3"/>
  <c r="K10" i="6"/>
  <c r="S124" i="3"/>
  <c r="K5" i="6"/>
  <c r="S119" i="3"/>
  <c r="K18" i="6"/>
  <c r="S132" i="3"/>
  <c r="J18" i="6"/>
  <c r="R132" i="3"/>
  <c r="K9" i="6"/>
  <c r="S123" i="3"/>
  <c r="J17" i="6"/>
  <c r="R131" i="3"/>
  <c r="K19" i="6"/>
  <c r="S133" i="3"/>
  <c r="K8" i="6"/>
  <c r="S122" i="3"/>
  <c r="K24" i="6"/>
  <c r="S138" i="3"/>
  <c r="J21" i="6"/>
  <c r="R135" i="3"/>
  <c r="J24" i="6"/>
  <c r="R138" i="3"/>
  <c r="J7" i="6"/>
  <c r="R121" i="3"/>
  <c r="J22" i="6"/>
  <c r="R136" i="3"/>
  <c r="K26" i="6"/>
  <c r="S140" i="3"/>
  <c r="S118" i="3"/>
  <c r="A118" i="3" s="1"/>
  <c r="D13" i="4"/>
  <c r="F13" i="4" s="1"/>
  <c r="A112" i="3"/>
  <c r="D40" i="5"/>
  <c r="A115" i="3"/>
  <c r="D43" i="5"/>
  <c r="A111" i="3"/>
  <c r="D39" i="5"/>
  <c r="A113" i="3"/>
  <c r="D41" i="5"/>
  <c r="A110" i="3"/>
  <c r="D38" i="5"/>
  <c r="A114" i="3"/>
  <c r="D42" i="5"/>
  <c r="A125" i="3" l="1"/>
  <c r="A131" i="3"/>
  <c r="A138" i="3"/>
  <c r="A124" i="3"/>
  <c r="A129" i="3"/>
  <c r="A126" i="3"/>
  <c r="A121" i="3"/>
  <c r="A123" i="3"/>
  <c r="A120" i="3"/>
  <c r="A127" i="3"/>
  <c r="A141" i="3"/>
  <c r="A122" i="3"/>
  <c r="A136" i="3"/>
  <c r="A135" i="3"/>
  <c r="A132" i="3"/>
  <c r="A134" i="3"/>
  <c r="A130" i="3"/>
  <c r="A140" i="3"/>
  <c r="A139" i="3"/>
  <c r="A133" i="3"/>
  <c r="A137" i="3"/>
  <c r="A128" i="3"/>
  <c r="A119" i="3"/>
  <c r="A117" i="3" l="1"/>
  <c r="Q143" i="3" l="1"/>
  <c r="O143" i="3"/>
  <c r="N149" i="3" s="1"/>
  <c r="F143" i="3"/>
  <c r="L143" i="3"/>
  <c r="E143" i="3"/>
  <c r="H143" i="3"/>
  <c r="K143" i="3"/>
  <c r="J143" i="3"/>
  <c r="D143" i="3"/>
  <c r="M143" i="3"/>
  <c r="N143" i="3"/>
  <c r="B143" i="3"/>
  <c r="P143" i="3"/>
  <c r="O156" i="3" l="1" a="1"/>
  <c r="O156" i="3" s="1"/>
  <c r="O160" i="3" a="1"/>
  <c r="O160" i="3" s="1"/>
  <c r="O164" i="3" a="1"/>
  <c r="O164" i="3" s="1"/>
  <c r="O168" i="3" a="1"/>
  <c r="O168" i="3" s="1"/>
  <c r="O157" i="3" a="1"/>
  <c r="O157" i="3" s="1"/>
  <c r="O161" i="3" a="1"/>
  <c r="O161" i="3" s="1"/>
  <c r="O165" i="3" a="1"/>
  <c r="O165" i="3" s="1"/>
  <c r="O169" i="3" a="1"/>
  <c r="O169" i="3" s="1"/>
  <c r="O162" i="3" a="1"/>
  <c r="O162" i="3" s="1"/>
  <c r="O159" i="3" a="1"/>
  <c r="O159" i="3" s="1"/>
  <c r="O158" i="3" a="1"/>
  <c r="O158" i="3" s="1"/>
  <c r="O166" i="3" a="1"/>
  <c r="O166" i="3" s="1"/>
  <c r="O170" i="3" a="1"/>
  <c r="O170" i="3" s="1"/>
  <c r="O163" i="3" a="1"/>
  <c r="O163" i="3" s="1"/>
  <c r="O167" i="3" a="1"/>
  <c r="O167" i="3" s="1"/>
  <c r="D155" i="3" a="1"/>
  <c r="D155" i="3" s="1"/>
  <c r="K22" i="4" s="1"/>
  <c r="O155" i="3" a="1"/>
  <c r="O155" i="3" s="1"/>
  <c r="C155" i="3" a="1"/>
  <c r="C155" i="3" s="1"/>
  <c r="BN22" i="4" s="1"/>
  <c r="C156" i="3" a="1"/>
  <c r="C156" i="3" s="1"/>
  <c r="BN23" i="4" s="1"/>
  <c r="C160" i="3" a="1"/>
  <c r="C160" i="3" s="1"/>
  <c r="BN27" i="4" s="1"/>
  <c r="C164" i="3" a="1"/>
  <c r="C164" i="3" s="1"/>
  <c r="BN31" i="4" s="1"/>
  <c r="C168" i="3" a="1"/>
  <c r="C168" i="3" s="1"/>
  <c r="BN35" i="4" s="1"/>
  <c r="C161" i="3" a="1"/>
  <c r="C161" i="3" s="1"/>
  <c r="BN28" i="4" s="1"/>
  <c r="C169" i="3" a="1"/>
  <c r="C169" i="3" s="1"/>
  <c r="BN36" i="4" s="1"/>
  <c r="C158" i="3" a="1"/>
  <c r="C158" i="3" s="1"/>
  <c r="BN25" i="4" s="1"/>
  <c r="C166" i="3" a="1"/>
  <c r="C166" i="3" s="1"/>
  <c r="BN33" i="4" s="1"/>
  <c r="C157" i="3" a="1"/>
  <c r="C157" i="3" s="1"/>
  <c r="BN24" i="4" s="1"/>
  <c r="C165" i="3" a="1"/>
  <c r="C165" i="3" s="1"/>
  <c r="BN32" i="4" s="1"/>
  <c r="C162" i="3" a="1"/>
  <c r="C162" i="3" s="1"/>
  <c r="C170" i="3" a="1"/>
  <c r="C170" i="3" s="1"/>
  <c r="BN37" i="4" s="1"/>
  <c r="C159" i="3" a="1"/>
  <c r="C159" i="3" s="1"/>
  <c r="BN26" i="4" s="1"/>
  <c r="C163" i="3" a="1"/>
  <c r="C163" i="3" s="1"/>
  <c r="BN30" i="4" s="1"/>
  <c r="C167" i="3" a="1"/>
  <c r="C167" i="3" s="1"/>
  <c r="BN34" i="4" s="1"/>
  <c r="B155" i="3" a="1"/>
  <c r="B155" i="3" s="1"/>
  <c r="E22" i="4" s="1"/>
  <c r="B156" i="3" a="1"/>
  <c r="B156" i="3" s="1"/>
  <c r="E23" i="4" s="1"/>
  <c r="B160" i="3" a="1"/>
  <c r="B160" i="3" s="1"/>
  <c r="E27" i="4" s="1"/>
  <c r="B164" i="3" a="1"/>
  <c r="B164" i="3" s="1"/>
  <c r="E31" i="4" s="1"/>
  <c r="B168" i="3" a="1"/>
  <c r="B168" i="3" s="1"/>
  <c r="E35" i="4" s="1"/>
  <c r="B167" i="3" a="1"/>
  <c r="B167" i="3" s="1"/>
  <c r="E34" i="4" s="1"/>
  <c r="B161" i="3" a="1"/>
  <c r="B161" i="3" s="1"/>
  <c r="E28" i="4" s="1"/>
  <c r="B162" i="3" a="1"/>
  <c r="B162" i="3" s="1"/>
  <c r="E29" i="4" s="1"/>
  <c r="B166" i="3" a="1"/>
  <c r="B166" i="3" s="1"/>
  <c r="E33" i="4" s="1"/>
  <c r="B159" i="3" a="1"/>
  <c r="B159" i="3" s="1"/>
  <c r="E26" i="4" s="1"/>
  <c r="B157" i="3" a="1"/>
  <c r="B157" i="3" s="1"/>
  <c r="E24" i="4" s="1"/>
  <c r="B165" i="3" a="1"/>
  <c r="B165" i="3" s="1"/>
  <c r="E32" i="4" s="1"/>
  <c r="B169" i="3" a="1"/>
  <c r="B169" i="3" s="1"/>
  <c r="E36" i="4" s="1"/>
  <c r="B158" i="3" a="1"/>
  <c r="B158" i="3" s="1"/>
  <c r="E25" i="4" s="1"/>
  <c r="B170" i="3" a="1"/>
  <c r="B170" i="3" s="1"/>
  <c r="E37" i="4" s="1"/>
  <c r="B163" i="3" a="1"/>
  <c r="B163" i="3" s="1"/>
  <c r="E30" i="4" s="1"/>
  <c r="D146" i="3"/>
  <c r="S16" i="4" s="1"/>
  <c r="W17" i="4"/>
  <c r="N150" i="3"/>
  <c r="N147" i="3"/>
  <c r="N148" i="3"/>
  <c r="N145" i="3"/>
  <c r="W16" i="4" s="1"/>
  <c r="N146" i="3"/>
  <c r="D145" i="3"/>
  <c r="Q16" i="4" s="1"/>
  <c r="D147" i="3"/>
  <c r="U16" i="4" s="1"/>
  <c r="D144" i="3"/>
  <c r="O16" i="4" s="1"/>
  <c r="J145" i="3"/>
  <c r="L145" i="3"/>
  <c r="BN38" i="4" l="1"/>
  <c r="BN29" i="4"/>
  <c r="E38" i="4"/>
  <c r="D15" i="4"/>
</calcChain>
</file>

<file path=xl/comments1.xml><?xml version="1.0" encoding="utf-8"?>
<comments xmlns="http://schemas.openxmlformats.org/spreadsheetml/2006/main">
  <authors>
    <author>Harald Nitz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 xml:space="preserve">SYS33: Individualformel nicht ziehen
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 xml:space="preserve">SYS33: Individualformel nicht ziehen
</t>
        </r>
      </text>
    </comment>
  </commentList>
</comments>
</file>

<file path=xl/comments2.xml><?xml version="1.0" encoding="utf-8"?>
<comments xmlns="http://schemas.openxmlformats.org/spreadsheetml/2006/main">
  <authors>
    <author>Harald Nitz</author>
  </authors>
  <commentList>
    <comment ref="A97" authorId="0" shapeId="0">
      <text>
        <r>
          <rPr>
            <b/>
            <sz val="9"/>
            <color indexed="81"/>
            <rFont val="Tahoma"/>
            <family val="2"/>
          </rPr>
          <t>SYS33:
neu hinzugefügt am 18.4.13</t>
        </r>
      </text>
    </comment>
  </commentList>
</comments>
</file>

<file path=xl/comments3.xml><?xml version="1.0" encoding="utf-8"?>
<comments xmlns="http://schemas.openxmlformats.org/spreadsheetml/2006/main">
  <authors>
    <author>Francesca Baroni</author>
    <author>Geier Nicole</author>
  </authors>
  <commentList>
    <comment ref="M53" authorId="0" shapeId="0">
      <text>
        <r>
          <rPr>
            <b/>
            <sz val="9"/>
            <color indexed="81"/>
            <rFont val="Tahoma"/>
            <family val="2"/>
          </rPr>
          <t>Francesca Baroni:</t>
        </r>
        <r>
          <rPr>
            <sz val="9"/>
            <color indexed="81"/>
            <rFont val="Tahoma"/>
            <family val="2"/>
          </rPr>
          <t xml:space="preserve">
mit dem Begriff bin ich nicht 100% sicher</t>
        </r>
      </text>
    </comment>
    <comment ref="V57" authorId="1" shapeId="0">
      <text>
        <r>
          <rPr>
            <b/>
            <sz val="8"/>
            <color indexed="81"/>
            <rFont val="Tahoma"/>
            <family val="2"/>
          </rPr>
          <t>Geier Nicole:</t>
        </r>
        <r>
          <rPr>
            <sz val="8"/>
            <color indexed="81"/>
            <rFont val="Tahoma"/>
            <family val="2"/>
          </rPr>
          <t xml:space="preserve">
habe leider keine Übersetzung für das Wort</t>
        </r>
      </text>
    </comment>
  </commentList>
</comments>
</file>

<file path=xl/comments4.xml><?xml version="1.0" encoding="utf-8"?>
<comments xmlns="http://schemas.openxmlformats.org/spreadsheetml/2006/main">
  <authors>
    <author>Harald Nitz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Harald Nitz:</t>
        </r>
        <r>
          <rPr>
            <sz val="9"/>
            <color indexed="81"/>
            <rFont val="Tahoma"/>
            <family val="2"/>
          </rPr>
          <t xml:space="preserve">
Die Funktion Tiefe ist durch die Alphabetische Sortierung nicht mehr verfügbar. Hier bitte eine für alle Materialien gültige Begrenzung eintragen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</rPr>
          <t>SYS33:
entspricht max Klappenbreite</t>
        </r>
      </text>
    </comment>
    <comment ref="A117" authorId="0" shapeId="0">
      <text>
        <r>
          <rPr>
            <b/>
            <sz val="9"/>
            <color indexed="81"/>
            <rFont val="Tahoma"/>
            <family val="2"/>
          </rPr>
          <t>SYS33:
Bereich enthält Formeln</t>
        </r>
      </text>
    </comment>
  </commentList>
</comments>
</file>

<file path=xl/sharedStrings.xml><?xml version="1.0" encoding="utf-8"?>
<sst xmlns="http://schemas.openxmlformats.org/spreadsheetml/2006/main" count="6387" uniqueCount="2349">
  <si>
    <t>Kinvaro</t>
  </si>
  <si>
    <t>L-80 Klappenliftbeschlag</t>
  </si>
  <si>
    <t>Kraftspeicher A</t>
  </si>
  <si>
    <t>Lenkhebel Typ 1</t>
  </si>
  <si>
    <t>Kraftspeicher B</t>
  </si>
  <si>
    <t>Lenkhebel Typ 2</t>
  </si>
  <si>
    <t>F-20 Faltklappenbeschlag</t>
  </si>
  <si>
    <t>Aluminiumrahmenadapter Kinvaro F-20 Set</t>
  </si>
  <si>
    <t>Zubehör</t>
  </si>
  <si>
    <t>Lenkhebel Typ 3</t>
  </si>
  <si>
    <t>T-105 Stützklappenhalter</t>
  </si>
  <si>
    <t>Höhe</t>
  </si>
  <si>
    <t>Korpus</t>
  </si>
  <si>
    <t>Klappe</t>
  </si>
  <si>
    <t>Links</t>
  </si>
  <si>
    <t>Seite</t>
  </si>
  <si>
    <t>Set (L+R)</t>
  </si>
  <si>
    <t>Feder Standard</t>
  </si>
  <si>
    <t>var</t>
  </si>
  <si>
    <t>1 Stützklappenhalter</t>
  </si>
  <si>
    <t>Ausführung für</t>
  </si>
  <si>
    <t>Holzanbindung</t>
  </si>
  <si>
    <t>Feder Schwarz</t>
  </si>
  <si>
    <t>Stützklappenhalter Kinvaro T-105 Rechts</t>
  </si>
  <si>
    <t>Alu</t>
  </si>
  <si>
    <t>-</t>
  </si>
  <si>
    <t>2 Stützklappenhalter</t>
  </si>
  <si>
    <t>T-57 Drehklappenbeschlag</t>
  </si>
  <si>
    <t>einstellbar</t>
  </si>
  <si>
    <t>T-76 Drehklappenbeschlag</t>
  </si>
  <si>
    <t>Aluminiumrahmenadapter Kinvaro T-76 Set</t>
  </si>
  <si>
    <t>Alu (Rahmen 19mm)</t>
  </si>
  <si>
    <t>T-75 Drehklappenbeschlag</t>
  </si>
  <si>
    <t>T-71 Drehklappenbeschlag</t>
  </si>
  <si>
    <t>Feder weiß</t>
  </si>
  <si>
    <t>T-70 Drehklappenbeschlag</t>
  </si>
  <si>
    <t>Werkzeuglos</t>
  </si>
  <si>
    <t>ja</t>
  </si>
  <si>
    <t>T-65 Drehklappenbeschlag</t>
  </si>
  <si>
    <t>Feder gelb einseitig</t>
  </si>
  <si>
    <t>S-35 Schwenkklappenbeschlag</t>
  </si>
  <si>
    <t>Aluminiumrahmenadapter Kinvaro L-80 Set</t>
  </si>
  <si>
    <t>Kraftspeicher C</t>
  </si>
  <si>
    <t>Lenkhebel Typ 4</t>
  </si>
  <si>
    <t>Lenkhebel Typ 5</t>
  </si>
  <si>
    <t>Lenkhebel Typ 6</t>
  </si>
  <si>
    <t>Kraftspeicher D</t>
  </si>
  <si>
    <t>Lenkhebel Typ 7</t>
  </si>
  <si>
    <t>Sprache</t>
  </si>
  <si>
    <t>Deutsch</t>
  </si>
  <si>
    <t>Englisch</t>
  </si>
  <si>
    <t>Kraftspeicher E</t>
  </si>
  <si>
    <t>Aluminiumrahmenadapter Kinvaro T-71 Set</t>
  </si>
  <si>
    <t>Feder orange</t>
  </si>
  <si>
    <t>Feder gelb beidseitig</t>
  </si>
  <si>
    <t>Feder schwarz beidseitig</t>
  </si>
  <si>
    <t>Aluminiumrahmenadapter Kinvaro S-35 Set</t>
  </si>
  <si>
    <t>Materialien</t>
  </si>
  <si>
    <t>g/cm³</t>
  </si>
  <si>
    <t>Breite</t>
  </si>
  <si>
    <t>Tiefe</t>
  </si>
  <si>
    <t>Material</t>
  </si>
  <si>
    <t>Gewicht</t>
  </si>
  <si>
    <t>Volumen cm³</t>
  </si>
  <si>
    <t>gewählte Dichte</t>
  </si>
  <si>
    <t>kg</t>
  </si>
  <si>
    <t>Limit</t>
  </si>
  <si>
    <t>min</t>
  </si>
  <si>
    <t>max</t>
  </si>
  <si>
    <t>Dicke</t>
  </si>
  <si>
    <t>min  Klappengewicht</t>
  </si>
  <si>
    <t>max      incl. Griff</t>
  </si>
  <si>
    <t>Information</t>
  </si>
  <si>
    <t>Kraftmanagement</t>
  </si>
  <si>
    <t>von     Auflage</t>
  </si>
  <si>
    <t>bis</t>
  </si>
  <si>
    <t>BestNr Zubehör</t>
  </si>
  <si>
    <t>min   Breite</t>
  </si>
  <si>
    <t>max Breite</t>
  </si>
  <si>
    <t>Französich</t>
  </si>
  <si>
    <t>language</t>
  </si>
  <si>
    <t>width</t>
  </si>
  <si>
    <t>height</t>
  </si>
  <si>
    <t>weight</t>
  </si>
  <si>
    <t>material</t>
  </si>
  <si>
    <t>Aluminum frame adapter Kinvaro S-35 Set</t>
  </si>
  <si>
    <t>Aluminum frame adapter Kinvaro T-71 Set</t>
  </si>
  <si>
    <t>Aluminum frame adapter Kinvaro T-76 Set</t>
  </si>
  <si>
    <t>Aluminum frame adapter Kinvaro F-20 Set</t>
  </si>
  <si>
    <t>Aluminum frame adapter Kinvaro L-80 Set</t>
  </si>
  <si>
    <t>Aluminum (19mm frame)</t>
  </si>
  <si>
    <t>Aluminum</t>
  </si>
  <si>
    <t>Clip assembly, 3D adjustment</t>
  </si>
  <si>
    <t>yes</t>
  </si>
  <si>
    <t>wood connectivity</t>
  </si>
  <si>
    <t>adjustable</t>
  </si>
  <si>
    <t>left</t>
  </si>
  <si>
    <t>flap</t>
  </si>
  <si>
    <t>corpus</t>
  </si>
  <si>
    <t>KINVARO</t>
  </si>
  <si>
    <t>Höhe2</t>
  </si>
  <si>
    <t>Griff</t>
  </si>
  <si>
    <t>handle</t>
  </si>
  <si>
    <t>Rechengewicht</t>
  </si>
  <si>
    <t>Montage werkzeuglos</t>
  </si>
  <si>
    <t>assembly without tools</t>
  </si>
  <si>
    <t>Werkzeuglos2</t>
  </si>
  <si>
    <t>accessories</t>
  </si>
  <si>
    <t>no</t>
  </si>
  <si>
    <t>nein</t>
  </si>
  <si>
    <t>Glas</t>
  </si>
  <si>
    <t>overlay</t>
  </si>
  <si>
    <t>information</t>
  </si>
  <si>
    <t>power management</t>
  </si>
  <si>
    <t>Bestellnummer</t>
  </si>
  <si>
    <t>Order Number</t>
  </si>
  <si>
    <t>side</t>
  </si>
  <si>
    <t>L-80</t>
  </si>
  <si>
    <t>Klappenliftbeschlag</t>
  </si>
  <si>
    <t>Schwedisch</t>
  </si>
  <si>
    <t>Spanisch</t>
  </si>
  <si>
    <t>Italienisch</t>
  </si>
  <si>
    <t>Französisch</t>
  </si>
  <si>
    <t>Faltklappenbeschlag</t>
  </si>
  <si>
    <t>F-20</t>
  </si>
  <si>
    <t>• Für Oberschränke mit geteilten Fronten
• Besonders leichter Bewegungsablauf
• Für grifflose Fronten einsetzbar
• Integrierte, einstellbare Schließdämpfung</t>
  </si>
  <si>
    <t>S-35</t>
  </si>
  <si>
    <t>Schwenkklappenbeschlag</t>
  </si>
  <si>
    <t>folding flap fitting</t>
  </si>
  <si>
    <t>parallel lift flap fitting</t>
  </si>
  <si>
    <t>up-and-over flap fitting</t>
  </si>
  <si>
    <t>Drehklappenbeschlag</t>
  </si>
  <si>
    <t>T-65</t>
  </si>
  <si>
    <t>T-70</t>
  </si>
  <si>
    <t xml:space="preserve">• Überbaufähig
• Klappe hält in jedem Winkel von 45° bis 100° sicher offen
• Für leichte bis mittelschwere Klappen
• Integrierte, einstellbare Schließdämpfung
</t>
  </si>
  <si>
    <t>T-71</t>
  </si>
  <si>
    <t>• Überbaufähig
• Klappe hält in jedem Winkel von 45° bis 110° sicher offen
• SD-Direktverstellung der Front
• Clipmontage
• Großer Einsatzbereich
• Integrierte, einstellbare Schließdämpfung</t>
  </si>
  <si>
    <t>T-75</t>
  </si>
  <si>
    <t>• Überbaufähig
• Klappe hält in jedem Winkel von 45° bis 110° sicher offen
• Für schwere Klappen
• Integrierte, einstellbare Schließdämpfung</t>
  </si>
  <si>
    <t>T-76</t>
  </si>
  <si>
    <t>• Überbaufähig
• Klappe hält in jedem Winkel von 45° bis 110° sicher offen
• Integrierte, einstellbare Schließdämpfung
• SD-Verstellung der Front
• Clipmontage
• Für schwere Klappen</t>
  </si>
  <si>
    <t>T-57</t>
  </si>
  <si>
    <t>• Überbaufähig
• 75° oder 90° Öffnungswinkel einstellbar
• Für mittelgroße Klappen</t>
  </si>
  <si>
    <t>T-105</t>
  </si>
  <si>
    <t>• Überbaufähig
• Klappe hält in jedem Winkel von 45° bis 105° sicher offen
• Großer Einsatzbereich
• Kraftunterstützte Öffnungsfunktion</t>
  </si>
  <si>
    <t>Stützklappenhalter</t>
  </si>
  <si>
    <t>19 mm Alu</t>
  </si>
  <si>
    <t>Auflage in mm</t>
  </si>
  <si>
    <t>mm</t>
  </si>
  <si>
    <t>MDF-Werkstoff</t>
  </si>
  <si>
    <t>Spanplatte</t>
  </si>
  <si>
    <t>Fichte / Kiefer</t>
  </si>
  <si>
    <t>Länge</t>
  </si>
  <si>
    <t>Gewählter Beschlag ist für die gewünschten Maße nicht vorgesehen</t>
  </si>
  <si>
    <t>Gewählter Beschlag ist für das gewünschte Gewicht nicht vorgesehen</t>
  </si>
  <si>
    <t>Griff g</t>
  </si>
  <si>
    <t>Griff L</t>
  </si>
  <si>
    <t>Anbindung</t>
  </si>
  <si>
    <t>Holz</t>
  </si>
  <si>
    <t>Alu 13</t>
  </si>
  <si>
    <t>Alu 14</t>
  </si>
  <si>
    <t>Alu 16</t>
  </si>
  <si>
    <t>Alu 17</t>
  </si>
  <si>
    <t>Typ</t>
  </si>
  <si>
    <t>S_Alu13</t>
  </si>
  <si>
    <t>S_Alu14</t>
  </si>
  <si>
    <t>S_Alu16</t>
  </si>
  <si>
    <t>S_Alu17</t>
  </si>
  <si>
    <t>s_holz</t>
  </si>
  <si>
    <t>Beschlag</t>
  </si>
  <si>
    <t>Maße+Gewicht</t>
  </si>
  <si>
    <t>Holz+Alu</t>
  </si>
  <si>
    <t>passt</t>
  </si>
  <si>
    <t>benötigt wird</t>
  </si>
  <si>
    <t>passt2</t>
  </si>
  <si>
    <t>Lösungen mit</t>
  </si>
  <si>
    <t>Empfehlung</t>
  </si>
  <si>
    <t>Korpushöhe</t>
  </si>
  <si>
    <t>Klappengewicht</t>
  </si>
  <si>
    <t>Benötigt wird auch</t>
  </si>
  <si>
    <t>griff man</t>
  </si>
  <si>
    <t>griff auto</t>
  </si>
  <si>
    <t>klappe Auto/man</t>
  </si>
  <si>
    <t>http://www.grass.at/fileadmin/downloads/DEU/Bedienungsanleitungen/Kinvaro/Kinvaro_F-20_Einbauanleitung_2_Generation.pdf</t>
  </si>
  <si>
    <t>http://www.grass.at/fileadmin/downloads/DEU/Bedienungsanleitungen/Kinvaro/Kinvaro_S-35_Einbauanleitung_2_Generation.pdf</t>
  </si>
  <si>
    <t>http://www.grass.at/fileadmin/downloads/DEU/Bedienungsanleitungen/Kinvaro/Kinvaro_L-80_Einbauanleitung_2._Generation.pdf</t>
  </si>
  <si>
    <t>http://www.grass.at</t>
  </si>
  <si>
    <t>overlay in mm</t>
  </si>
  <si>
    <t>19 mm Aluminium</t>
  </si>
  <si>
    <t>design for</t>
  </si>
  <si>
    <t>length</t>
  </si>
  <si>
    <t>solutions with</t>
  </si>
  <si>
    <t>program</t>
  </si>
  <si>
    <t>fitting</t>
  </si>
  <si>
    <t>is also required</t>
  </si>
  <si>
    <t>recommendation</t>
  </si>
  <si>
    <t>Lösung mit</t>
  </si>
  <si>
    <t>solution with</t>
  </si>
  <si>
    <t>Kinvaro Produktfinder realisiert von SYS33 EDV Dienstleistung im Auftrag von GRASS GmbH Reinheim</t>
  </si>
  <si>
    <t>T-65 lift-up ﬂap ﬁtting</t>
  </si>
  <si>
    <t xml:space="preserve">F-20 folding ﬂap ﬁtting </t>
  </si>
  <si>
    <t>L-80 parallel lift ﬂap ﬁtting</t>
  </si>
  <si>
    <t>T-71 lift-up ﬂap ﬁtting</t>
  </si>
  <si>
    <t>T-70 lift-up ﬂap ﬁtting</t>
  </si>
  <si>
    <t>S-35 up-and-over ﬂap ﬁtting</t>
  </si>
  <si>
    <t>T-75 lift-up ﬂap ﬁtting</t>
  </si>
  <si>
    <t>T-76 lift-up ﬂap ﬁtting</t>
  </si>
  <si>
    <t>T-57 lift-up ﬂap ﬁtting</t>
  </si>
  <si>
    <t>T-105 ﬂap stay</t>
  </si>
  <si>
    <t>ﬂap stay</t>
  </si>
  <si>
    <t>lift-up ﬂap ﬁtting</t>
  </si>
  <si>
    <t>• Allows additional cabinet installation above
• Opening angle adjustable to 75° or 90°
• For medium-sized ﬂaps</t>
  </si>
  <si>
    <t>• For wall cabinets with split fronts
• Extremely smooth movement
• Suitable for handle-free fronts
• Integrated adjustable closing damper</t>
  </si>
  <si>
    <t>F-20 Klaﬀbeslag för viklucka</t>
  </si>
  <si>
    <t>•  För överskåp med delade fronter
•  Speciellt lätt öppning
•  Lämplig för handtagslösa fronter
•  Integrerad justerbar stängningsdämpning</t>
  </si>
  <si>
    <t>S-35 Svänglucksbeslag</t>
  </si>
  <si>
    <t>T-65 Vridlucksbeslag</t>
  </si>
  <si>
    <t>•  Tillåter påbyggnad med överskåp
•  Fronten hålls säkert på plats i varje vinkel från 45° till 100°
•  För lätta och medeltunga luckor
•  Integrerad justerbar stängningsdämpning</t>
  </si>
  <si>
    <t>T-70 Vridlucksbeslag</t>
  </si>
  <si>
    <t>•  Tillåter påbyggnad med överskåp
•  Fronten hålls säkert på plats i varje vinkel från 45° till 110°
•  Integrerad justerbar stängningsdämpning
•  Omfattande användningsområde</t>
  </si>
  <si>
    <t>T-71 Vridlucksbeslag</t>
  </si>
  <si>
    <t>T-75 Vridlucksbeslag</t>
  </si>
  <si>
    <t>•  Tillåter påbyggnad med överskåp
•  Fronten hålls säkert på plats i varje vinkel från 45° till 110° 60
•  För tunga luckor
•  Integrerad justerbar stängningsdämpning</t>
  </si>
  <si>
    <t>T-76 Vridlucksbeslag</t>
  </si>
  <si>
    <t>•  Tillåter påbyggnad med överskåp
•  Fronten hålls säkert på plats i varje vinkel från 45° till 110°
•  Integrerad justerbar stängningsdämpning 
•  3-D inställning av fronten
•  Snäpp montering av fronten
•  För tunga luckor</t>
  </si>
  <si>
    <t>T-57 Vridlucksbeslag</t>
  </si>
  <si>
    <t>•  Tillåter påbyggnad med överskåp
•  Inställbar öppningsvinkel 75° eller 90°
•  För medelstora luckor</t>
  </si>
  <si>
    <t>T-105 Klaﬀhållare</t>
  </si>
  <si>
    <t>•  Tillåter påbyggnad med överskåp
•  Fronten hålls säkert på plats i varje vinkel från 45° till 105°
•  Omfattande användningsområde
•  Lätt öppning via fjädermekanism</t>
  </si>
  <si>
    <t>Klaﬀhållare</t>
  </si>
  <si>
    <t>Vridlucksbeslag</t>
  </si>
  <si>
    <t>Lyftbeslag</t>
  </si>
  <si>
    <t>Klaﬀbeslag för viklucka</t>
  </si>
  <si>
    <t>L-80 Accessorio per ante pieghevoli</t>
  </si>
  <si>
    <t xml:space="preserve">F-20 Sistema per ante pieghevoli </t>
  </si>
  <si>
    <t>•  Per elementi pensili con frontali divisi
•  Movimento particolarmente leggero
•  Utilizzabili per frontali senza maniglie
•  Chiusura frenata regolabile, integrata</t>
  </si>
  <si>
    <t>Sistema per ante pieghevoli</t>
  </si>
  <si>
    <t>Accessorio per ante pieghevoli</t>
  </si>
  <si>
    <t>S-35 Cerniera per ante a ribalta Kinvaro</t>
  </si>
  <si>
    <t>Cerniera per ante a ribalta Kinvaro</t>
  </si>
  <si>
    <t>•  Si orienta lungo il corpo del mobile
•  Adatto a mobili con elettrodomestici, cornici e faretti
•  Movimento estremamente leggero
•  Elevata stabilità
•  Chiusura frenata regolabile, integrata</t>
  </si>
  <si>
    <t>Cerniera per ante a battente</t>
  </si>
  <si>
    <t>T-65 Cerniera per ante a battente</t>
  </si>
  <si>
    <t>T-70 Cerniera per ante a battente</t>
  </si>
  <si>
    <t>T-71 Cerniera per ante a battente</t>
  </si>
  <si>
    <t>T-75 Cerniera per ante a battente</t>
  </si>
  <si>
    <t>T-76 Cerniera per ante a battente</t>
  </si>
  <si>
    <t>T-57 Cerniera per ante a battente</t>
  </si>
  <si>
    <t>• Possibilità di sovrapporre altri elementi
• Angolo di apertura regolabile, a 75° o 90°
• Per ante a ribalta medio/grandi</t>
  </si>
  <si>
    <t xml:space="preserve">Supporto per ante a ribalta </t>
  </si>
  <si>
    <t xml:space="preserve">T-105 Supporto per ante a ribalta </t>
  </si>
  <si>
    <t xml:space="preserve">Ferrure pour abattant pliant </t>
  </si>
  <si>
    <t xml:space="preserve">F-20 Ferrure pour abattant pliant </t>
  </si>
  <si>
    <t>• Pour les éléments hauts à deux façades
• Mouvement particulièrement doux
• Convient aux façades sans poignée
• Amortissement de fermeture intégré et réglable</t>
  </si>
  <si>
    <t xml:space="preserve">Ferrure relevante pour abattant </t>
  </si>
  <si>
    <t xml:space="preserve">L-80 Ferrure relevante pour abattant </t>
  </si>
  <si>
    <t xml:space="preserve">Ferrure pour abattants pivotants </t>
  </si>
  <si>
    <t xml:space="preserve">S-35 Ferrure pour abattants pivotants </t>
  </si>
  <si>
    <t>• Pivote au-dessus du caisson
• Convient aux armoires dotées de corniches, de panneaux
   de ﬁnition débordants et de luminaires décoratifs
• Mouvement extrêmement doux
• Excellente stabilité
• Amortissement de fermeture intégré et réglable</t>
  </si>
  <si>
    <t xml:space="preserve">Ferrure pour systèmes d’abattants s’ouvrant vers le haut </t>
  </si>
  <si>
    <t xml:space="preserve">T-65 Ferrure pour systèmes d’abattants s’ouvrant vers le haut </t>
  </si>
  <si>
    <t xml:space="preserve">T-70 Ferrure pour systèmes d’abattants s’ouvrant vers le haut </t>
  </si>
  <si>
    <t xml:space="preserve">T-71 Ferrure pour systèmes d’abattants s’ouvrant vers le haut </t>
  </si>
  <si>
    <t xml:space="preserve">T-75 Ferrure pour systèmes d’abattants s’ouvrant vers le haut </t>
  </si>
  <si>
    <t xml:space="preserve">T-76 Ferrure pour systèmes d’abattants s’ouvrant vers le haut </t>
  </si>
  <si>
    <t xml:space="preserve">T-57 Ferrure pour systèmes d’abattants s’ouvrant vers le haut </t>
  </si>
  <si>
    <t>• Permet l’ajout d’une autre armoire en hauteur
• Angle d’ouverture réglable sur 75°ou 90°
• Pour abattants de taille moyenne</t>
  </si>
  <si>
    <t>Support d’abattant</t>
  </si>
  <si>
    <t>T-105 Support d’abattant</t>
  </si>
  <si>
    <t>• Überbaufähig
• Klappe hält in jedem Winkel von 45° bis 110° sicher offen
• Integrierte, einstellbare Schließdämpfung
• Großer Einsatzbereich</t>
  </si>
  <si>
    <t>• Possibilità di sovrapporre altri elementi
• L’anta a ribalta si mantiene aperta ad ogni angolazione da 45° a 110°
• Per ante a ribalta pesanti
• Chiusura frenata regolabile, integrata</t>
  </si>
  <si>
    <t>Bisagra para puertas plegables</t>
  </si>
  <si>
    <t>F-20 Bisagra para puertas plegables</t>
  </si>
  <si>
    <t>• Para armarios con frentes divididos
• Movimiento especialmente ligero
• Utilizable para frentes sin tirador
• Amortiguación integrada regulable</t>
  </si>
  <si>
    <t>Bisagra para puertas elevables en paralelo</t>
  </si>
  <si>
    <t>L-80 Bisagra para puertas elevables en paralelo</t>
  </si>
  <si>
    <t>• Se abre en paralelo al armario
• Apta para armarios con aparatos y armarios con cornisas, 
   molduras o luces
• Movimiento extremadamente sencillo
• Gran estabilidad
• Amortiguación integrada regulable</t>
  </si>
  <si>
    <t>Bisagra para puertas oscilantes</t>
  </si>
  <si>
    <t>S-35 Bisagra para puertas oscilantes</t>
  </si>
  <si>
    <t>Bisagra para puertas elevables</t>
  </si>
  <si>
    <t>T-65 Bisagra para puertas elevables</t>
  </si>
  <si>
    <t>T-70 Bisagra para puertas elevables</t>
  </si>
  <si>
    <t>T-71 Bisagra para puertas elevables</t>
  </si>
  <si>
    <t>T-75 Bisagra para puertas elevables</t>
  </si>
  <si>
    <t>T-76 Bisagra para puertas elevables</t>
  </si>
  <si>
    <t>T-57 Bisagra para puertas elevables</t>
  </si>
  <si>
    <t>• Apta para aplicaciones con elementos superiores
• La puerta se mantiene abierta en cualquier posición, 
   en ángulos entre 45° y 110°
• Regulación directa del frente tridimensional
• Montaje tipo clip
• Campo de aplicación muy amplio
• Amortiguación integrada regulable</t>
  </si>
  <si>
    <t>• Apta para aplicaciones con elementos superiores
• La puerta se mantiene abierta en cualquier posición,
   en ángulos entre 45° y 110°
• Para puertas pesadas
• Amortiguación integrada regulable</t>
  </si>
  <si>
    <t>• Apta para aplicaciones con elementos superiores
• La puerta se mantiene abierta en cualquier posición,
   en ángulos entre 45° y 110°
• Amortiguación integrada regulable
• Regulación directa del frente tridimensional
• Montaje tipo clip
• Para puertas pesadas</t>
  </si>
  <si>
    <t>• Apta para aplicaciones con elementos superiores
• Ángulo de apertura regulable a 75° o 90°
• Para puertas de tamaño medio</t>
  </si>
  <si>
    <t xml:space="preserve">Compás retenedor </t>
  </si>
  <si>
    <t xml:space="preserve">T-105 Compás retenedor </t>
  </si>
  <si>
    <t>• Apta para aplicaciones con elementos superiores
• La puerta se mantiene abierta en cualquier posición,
   en ángulos entre 45° y 105°
• Campo de aplicación muy amplio
• Función de apertura suplementaria</t>
  </si>
  <si>
    <t>Français</t>
  </si>
  <si>
    <t>Italiano</t>
  </si>
  <si>
    <t>Español</t>
  </si>
  <si>
    <t>Italienska</t>
  </si>
  <si>
    <t>Franska</t>
  </si>
  <si>
    <t>trä-anslutning</t>
  </si>
  <si>
    <t>19 mm aluminium</t>
  </si>
  <si>
    <t>Design för</t>
  </si>
  <si>
    <t>lösningar</t>
  </si>
  <si>
    <t>lösning med</t>
  </si>
  <si>
    <t>Behövs också</t>
  </si>
  <si>
    <t>rekommendation</t>
  </si>
  <si>
    <t>vänster</t>
  </si>
  <si>
    <t>Ja</t>
  </si>
  <si>
    <t>ingen</t>
  </si>
  <si>
    <t>tillbehör</t>
  </si>
  <si>
    <t>monteringsverktyg</t>
  </si>
  <si>
    <t>Edition</t>
  </si>
  <si>
    <t>power Management</t>
  </si>
  <si>
    <t>sidan</t>
  </si>
  <si>
    <t>Klämaggregatet, 3D inställning</t>
  </si>
  <si>
    <t>MDF material</t>
  </si>
  <si>
    <t>spånskiva</t>
  </si>
  <si>
    <t>glas</t>
  </si>
  <si>
    <t>Guide lever type 1</t>
  </si>
  <si>
    <t>Guide lever type 2</t>
  </si>
  <si>
    <t>Guide lever type 3</t>
  </si>
  <si>
    <t>Guide lever type 4</t>
  </si>
  <si>
    <t>Guide lever type 5</t>
  </si>
  <si>
    <t>Guide lever type 6</t>
  </si>
  <si>
    <t>Guide lever type 7</t>
  </si>
  <si>
    <t>Spring A</t>
  </si>
  <si>
    <t>Spring B</t>
  </si>
  <si>
    <t>Spring C</t>
  </si>
  <si>
    <t>Spring D</t>
  </si>
  <si>
    <t>Spring E</t>
  </si>
  <si>
    <t>Spring on both sides yellow</t>
  </si>
  <si>
    <t>Spring on one side yellow</t>
  </si>
  <si>
    <t>Spring on both sides black</t>
  </si>
  <si>
    <t>Auflage*</t>
  </si>
  <si>
    <t>Selected fitting  is not for the desired measurements provided</t>
  </si>
  <si>
    <t>Selected fitting is not for the desired weight provided</t>
  </si>
  <si>
    <t>Selezionata non è adatta per le misure desiderate disponibile</t>
  </si>
  <si>
    <t>Seleccionada no es apropiada para las mediciones deseadas siempre</t>
  </si>
  <si>
    <t>Sélectionné ne convient pas pour les mesures souhaitées fourni</t>
  </si>
  <si>
    <t>Sélectionné n'est pas approprié pour le poids désiré à condition</t>
  </si>
  <si>
    <t>Selezionato non è adatto per il peso desiderato disponibile</t>
  </si>
  <si>
    <t>Seleccionada no es apropiada para el peso deseado siempre</t>
  </si>
  <si>
    <t>Anglais</t>
  </si>
  <si>
    <t>Inglés</t>
  </si>
  <si>
    <t>legno di connessione</t>
  </si>
  <si>
    <t>Raccordement bois</t>
  </si>
  <si>
    <t>Wood conexión</t>
  </si>
  <si>
    <t>19 millimetri in alluminio</t>
  </si>
  <si>
    <t>19 mm en aluminium</t>
  </si>
  <si>
    <t>19 mm de aluminio</t>
  </si>
  <si>
    <t>design per</t>
  </si>
  <si>
    <t>design pour</t>
  </si>
  <si>
    <t>Diseño para</t>
  </si>
  <si>
    <t>Tenendo in mm</t>
  </si>
  <si>
    <t>Gardant en mm</t>
  </si>
  <si>
    <t>Teniendo en mm</t>
  </si>
  <si>
    <t>Flap</t>
  </si>
  <si>
    <t>Soluzioni</t>
  </si>
  <si>
    <t>solutions</t>
  </si>
  <si>
    <t>Soluciones</t>
  </si>
  <si>
    <t>Solución con</t>
  </si>
  <si>
    <t>solution avec</t>
  </si>
  <si>
    <t>Soluzione con</t>
  </si>
  <si>
    <t>programma</t>
  </si>
  <si>
    <t>programme</t>
  </si>
  <si>
    <t>programa</t>
  </si>
  <si>
    <t>altura del cuerpo</t>
  </si>
  <si>
    <t>hauteur du corps</t>
  </si>
  <si>
    <t>altezza corpo</t>
  </si>
  <si>
    <t>Flap peso</t>
  </si>
  <si>
    <t>poids d'abattant</t>
  </si>
  <si>
    <t>adecuado</t>
  </si>
  <si>
    <t>essayage</t>
  </si>
  <si>
    <t>adattamento</t>
  </si>
  <si>
    <t>È necessaria anche</t>
  </si>
  <si>
    <t>Il est également nécessaire</t>
  </si>
  <si>
    <t>También se necesita</t>
  </si>
  <si>
    <t>recomendación</t>
  </si>
  <si>
    <t>recommandation</t>
  </si>
  <si>
    <t>raccomandazione</t>
  </si>
  <si>
    <t>informazioni</t>
  </si>
  <si>
    <t>informations</t>
  </si>
  <si>
    <t>información</t>
  </si>
  <si>
    <t>No.</t>
  </si>
  <si>
    <t>Non.</t>
  </si>
  <si>
    <t>pagina</t>
  </si>
  <si>
    <t>page</t>
  </si>
  <si>
    <t>página</t>
  </si>
  <si>
    <t>Power Management</t>
  </si>
  <si>
    <t>gestion de l'alimentation</t>
  </si>
  <si>
    <t>Gestión de energía</t>
  </si>
  <si>
    <t>Set (L + R)</t>
  </si>
  <si>
    <t>Sinistra</t>
  </si>
  <si>
    <t>gauche</t>
  </si>
  <si>
    <t>Izquierda</t>
  </si>
  <si>
    <t>Matériau MDF</t>
  </si>
  <si>
    <t>Panneaux de particules</t>
  </si>
  <si>
    <t>Chipboard</t>
  </si>
  <si>
    <t>Spruce / Pine</t>
  </si>
  <si>
    <t>Pin / Epicéa</t>
  </si>
  <si>
    <t>Picea / Pino</t>
  </si>
  <si>
    <t>vetro</t>
  </si>
  <si>
    <t>verre</t>
  </si>
  <si>
    <t>vidrio</t>
  </si>
  <si>
    <t>Länkarm Typ 1</t>
  </si>
  <si>
    <t>Länkarm Typ 2</t>
  </si>
  <si>
    <t>Länkarm Typ 3</t>
  </si>
  <si>
    <t>Länkarm Typ 4</t>
  </si>
  <si>
    <t>Länkarm Typ 5</t>
  </si>
  <si>
    <t>Länkarm Typ 6</t>
  </si>
  <si>
    <t>Länkarm Typ 7</t>
  </si>
  <si>
    <t>Leva della guida Tipo 1</t>
  </si>
  <si>
    <t>Leva della guida Tipo 2</t>
  </si>
  <si>
    <t>Leva della guida Tipo 3</t>
  </si>
  <si>
    <t>Leva della guida Tipo 4</t>
  </si>
  <si>
    <t>Leva della guida Tipo 5</t>
  </si>
  <si>
    <t>Leva della guida Tipo 6</t>
  </si>
  <si>
    <t>Leva della guida Tipo 7</t>
  </si>
  <si>
    <t>Levier de guidage Type 1</t>
  </si>
  <si>
    <t>Levier de guidage Type 2</t>
  </si>
  <si>
    <t>Levier de guidage Type 3</t>
  </si>
  <si>
    <t>Levier de guidage Type 4</t>
  </si>
  <si>
    <t>Levier de guidage Type 5</t>
  </si>
  <si>
    <t>Levier de guidage Type 6</t>
  </si>
  <si>
    <t>Levier de guidage Type 7</t>
  </si>
  <si>
    <t>Palanca de dirección tipo 1</t>
  </si>
  <si>
    <t>Palanca de dirección tipo 2</t>
  </si>
  <si>
    <t>Palanca de dirección tipo 3</t>
  </si>
  <si>
    <t>Palanca de dirección tipo 4</t>
  </si>
  <si>
    <t>Palanca de dirección tipo 5</t>
  </si>
  <si>
    <t>Palanca de dirección tipo 6</t>
  </si>
  <si>
    <t>Palanca de dirección tipo 7</t>
  </si>
  <si>
    <t>Klaﬀhållare A</t>
  </si>
  <si>
    <t>Klaﬀhållare B</t>
  </si>
  <si>
    <t>Klaﬀhållare C</t>
  </si>
  <si>
    <t>Klaﬀhållare D</t>
  </si>
  <si>
    <t>Klaﬀhållare E</t>
  </si>
  <si>
    <t>Accumulatore A</t>
  </si>
  <si>
    <t>Accumulatore B</t>
  </si>
  <si>
    <t>Accumulatore C</t>
  </si>
  <si>
    <t>Accumulatore D</t>
  </si>
  <si>
    <t>Accumulatore E</t>
  </si>
  <si>
    <t>Accum. de force A</t>
  </si>
  <si>
    <t>Accum. de force B</t>
  </si>
  <si>
    <t>Accum. de force C</t>
  </si>
  <si>
    <t>Accum. de force D</t>
  </si>
  <si>
    <t>Accum. de force E</t>
  </si>
  <si>
    <t>Muelle A</t>
  </si>
  <si>
    <t>Muelle B</t>
  </si>
  <si>
    <t>Muelle C</t>
  </si>
  <si>
    <t>Muelle D</t>
  </si>
  <si>
    <t>Muelle E</t>
  </si>
  <si>
    <t>Fjäder standard</t>
  </si>
  <si>
    <t>Molla standard</t>
  </si>
  <si>
    <t>Ressort standard</t>
  </si>
  <si>
    <t>Muelle estándar</t>
  </si>
  <si>
    <t>Muelle negro</t>
  </si>
  <si>
    <t>Ressort noir</t>
  </si>
  <si>
    <t>Molla nera</t>
  </si>
  <si>
    <t>Fjäder svart</t>
  </si>
  <si>
    <t>Spring, white</t>
  </si>
  <si>
    <t xml:space="preserve">Spring, orange </t>
  </si>
  <si>
    <t>Spring, black</t>
  </si>
  <si>
    <t>Spring standard</t>
  </si>
  <si>
    <t>Fjäder vit</t>
  </si>
  <si>
    <t>Fjäder orange</t>
  </si>
  <si>
    <t>Molla bianca</t>
  </si>
  <si>
    <t>Molla arancione</t>
  </si>
  <si>
    <t>Ressort blanc</t>
  </si>
  <si>
    <t xml:space="preserve">Ressort orange </t>
  </si>
  <si>
    <t>Muelle blanco</t>
  </si>
  <si>
    <t>Muelle naranja</t>
  </si>
  <si>
    <t xml:space="preserve">Fjäder en sida gul </t>
  </si>
  <si>
    <t>Fjäder båda sidor gul</t>
  </si>
  <si>
    <t>Fjäder båda sidor svart</t>
  </si>
  <si>
    <t>Molla su un lato gialla</t>
  </si>
  <si>
    <t>Molla su due lati gialla</t>
  </si>
  <si>
    <t>Molla su due lati nera</t>
  </si>
  <si>
    <t xml:space="preserve">Ressort d’un côté </t>
  </si>
  <si>
    <t xml:space="preserve">Ressort des deux côtés jaune </t>
  </si>
  <si>
    <t xml:space="preserve">Ressort des deux côtés noir </t>
  </si>
  <si>
    <t>Muelle unilateral amarillo</t>
  </si>
  <si>
    <t>Muelle bilateral amarillo</t>
  </si>
  <si>
    <t>Muelle bilateral negro</t>
  </si>
  <si>
    <t>1 ﬂap stay</t>
  </si>
  <si>
    <t>2 ﬂap stays</t>
  </si>
  <si>
    <t>1 klaﬀhållare</t>
  </si>
  <si>
    <t>2 klaﬀhållare</t>
  </si>
  <si>
    <t xml:space="preserve">1 supporto per ante a ribalta </t>
  </si>
  <si>
    <t xml:space="preserve">2 supporti per ante a ribalta </t>
  </si>
  <si>
    <t xml:space="preserve">1 supports d’abattant </t>
  </si>
  <si>
    <t xml:space="preserve">2 supports d’abattant </t>
  </si>
  <si>
    <t>1 compases retenedores</t>
  </si>
  <si>
    <t>2 compases retenedores</t>
  </si>
  <si>
    <t>*Clipmontage, 3D Einstellung*</t>
  </si>
  <si>
    <t xml:space="preserve">Set adaptador para puertas con marco de aluminio Kinvaro T-71 </t>
  </si>
  <si>
    <t xml:space="preserve">Set adaptador para puertas con marco de aluminio Kinvaro T-76 </t>
  </si>
  <si>
    <t>Set adaptador para puertas con marco de aluminio Kinvaro F-20</t>
  </si>
  <si>
    <t xml:space="preserve">Set adaptador para puertas con marco de aluminio Kinvaro L-80 </t>
  </si>
  <si>
    <t>Set adaptador para puertas con marco de aluminio Kinvaro S-35</t>
  </si>
  <si>
    <t xml:space="preserve">Adaptateur pour cadre aluminium kit Kinvaro T-71 </t>
  </si>
  <si>
    <t xml:space="preserve">Adaptateur pour cadre aluminium kit Kinvaro L-80 </t>
  </si>
  <si>
    <t>Adaptateur pour cadre aluminium kit Kinvaro F-20</t>
  </si>
  <si>
    <t xml:space="preserve">Adaptateur pour cadre aluminium kit Kinvaro T-76 </t>
  </si>
  <si>
    <t>Adaptateur pour cadre aluminium kit Kinvaro S-35</t>
  </si>
  <si>
    <t>Set di adattatori per telai in alluminio Kinvaro T-71</t>
  </si>
  <si>
    <t>Set di adattatori per telai in alluminio Kinvaro L-80</t>
  </si>
  <si>
    <t>Set di adattatori per telai in alluminio Kinvaro F-20</t>
  </si>
  <si>
    <t>Set di adattatori per telai in alluminio Kinvaro T-76</t>
  </si>
  <si>
    <t>Set di adattatori per telai in alluminio Kinvaro S-35</t>
  </si>
  <si>
    <t>Aluminiumramadapter Kinvaro T-71 Set</t>
  </si>
  <si>
    <t>Aluminiumramadapter Kinvaro L-80 Set</t>
  </si>
  <si>
    <t>Aluminiumramadapter Kinvaro F-20 Set</t>
  </si>
  <si>
    <t>Aluminiumramadapter Kinvaro T-76 Set</t>
  </si>
  <si>
    <t>Aluminiumramadapter Kinvaro S-35 Set</t>
  </si>
  <si>
    <t>Fap stay Kinvaro T-105 right</t>
  </si>
  <si>
    <t>Klaﬀhållare Kinvaro T-105 höger</t>
  </si>
  <si>
    <t>supporto per ante a ribalta Kinvaro T-105 destra</t>
  </si>
  <si>
    <t>supports d’abattant Kinvaro T-105 droit</t>
  </si>
  <si>
    <t>compases retenedores Kinvaro T-105 derecho</t>
  </si>
  <si>
    <t>ajustable</t>
  </si>
  <si>
    <t>réglable</t>
  </si>
  <si>
    <t>regolabile</t>
  </si>
  <si>
    <t>justerbar</t>
  </si>
  <si>
    <t>• S’ouvre parallèlement au caisson
• Convient aux armoires dotées de corniches, de panneaux 
   de ﬁnition débordants et de luminaires décoratifs
• Mouvement extrêmement doux
• Excellente stabilité
• Amortissement de fermeture intégré et réglable</t>
  </si>
  <si>
    <t>• Permet l’ajout d’une autre armoire en hauteur
• L’abattant reste ouvert en toute sécurité à partir d’un angle 
   de 45°à 100° 
• Pour abattants légers ou moyennement lourds
• Amortissement de fermeture intégré et réglable</t>
  </si>
  <si>
    <t>• Permet l’ajout d’une autre armoire en hauteur
• L’abattant reste ouvert en toute sécurité à partir d’un angle 
   de 45°à 110°
• Amortissement de fermeture intégré et réglable
• Vaste domaine d’application</t>
  </si>
  <si>
    <t>• Permet l’ajout d’une autre armoire en hauteur
• L’abattant reste ouvert en toute sécurité à partir d’un angle
   de 45°à 110°
• Réglage direct 3D de la façade
• Montage par clip
• Vaste domaine d’application
• Amortissement de fermeture intégré et réglable</t>
  </si>
  <si>
    <t>• Permet l’ajout d’une autre armoire en hauteur
• L’abattant reste ouvert en toute sécurité à partir d’un angle
   de 45°à 110°
• Pour abattants lourds
• Amortissement de fermeture intégré et réglable</t>
  </si>
  <si>
    <t>• Permet l’ajout d’une autre armoire en hauteur
• L’abattant reste ouvert en toute sécurité à partir d’un angle 
   de 45°à 105°
• Vaste domaine d’application
• Fonction d’ouverture assistée</t>
  </si>
  <si>
    <t>• Permet l’ajout d’une autre armoire en hauteur
• L’abattant reste ouvert en toute sécurité à partir d’un angle 
   de 45°à 110°
• Amortissement de fermeture intégré et réglable
• Réglage 3D de la façade
• Montage par clip
• Pour abattants lourds</t>
  </si>
  <si>
    <t>• Öffnet parallel zum Korpus
• Geeignet für Geräteschränke und Schränke mit Kranzleisten, 
   Gesimsen oder Aufsatzleuchten
• Äußerst leichter Bewegungsablauf
• Hohe Stabilität
• Integrierte, einstellbare Schließdämpfung</t>
  </si>
  <si>
    <t>• Schwenkt über den Korpus
• Geeignet für Schränke mit Kranzleisten, Gesimsen oder 
   Aufsatzleuchten
• Äußerst leichter Bewegungsablauf
• Hohe Stabilität
• Integrierte, einstellbare Schließdämpfung</t>
  </si>
  <si>
    <t>•  Si apre parallelamente al mobile
•  Adatto a mobili con elettrodomestici e mobili con listelli 
    a corona,  cornici o faretti
•  Movimento estremamente leggero
•  Elevata stabilità
•  Chiusura frenata regolabile, integrata</t>
  </si>
  <si>
    <t>•  Possibilità di sovrapporre altri elementi
•  L’anta a ribalta si mantiene aperta 
     ad ogni angolazione da 45° a 100°
•  Per ante a ribalta leggere/medio pesanti
•  Chiusura frenata regolabile, integrata</t>
  </si>
  <si>
    <t>•  Possibilità di sovrapporre altri elementi
•  L’anta a ribalta si mantiene aperta ad ogni angolazione 
     da 45° a 110°
•  Chiusura frenata regolabile, integrata
•  Vasto campo di applicazione</t>
  </si>
  <si>
    <t>• Possibilità di sovrapporre altri elementi
• L’anta a ribalta si mantiene aperta ad ogni angolazione
    da 45° a 110°
• Regolazione diretta tridimensionale del frontale
• Montaggio con clip
• Vasto campo di applicazione
• Chiusura frenata regolabile, integrata</t>
  </si>
  <si>
    <t>• Possibilità di sovrapporre altri elementi
• L’anta a ribalta si mantiene aperta ad ogni angolazione 
    da 45° a 105°
• Vasto campo di applicazione
• Funzione di apertura servo-asservita</t>
  </si>
  <si>
    <t>• Possibilità di sovrapporre altri elementi
• L’anta a ribalta si mantiene aperta ad ogni angolazione
   da 45° a 110°
• Chiusura frenata regolabile, integrata
• Regolazione tridimensionale del frontale
• Montaggio con clip
• Per ante a ribalta pesanti</t>
  </si>
  <si>
    <t>• Oscila por encima del armario
• Apta para armarios con aparatos y armarios con cornisas, 
   molduras o luces
• Movimiento extremadamente sencillo
• Gran estabilidad
• Amortiguación integrada regulable</t>
  </si>
  <si>
    <t>• Apta para aplicaciones con elementos superiores
• La puerta se mantiene abierta en cualquier posición, en 
   ángulos entre 45° y 100°
• Para puertas ligeras hasta de peso medio
• Amortiguación integrada regulable</t>
  </si>
  <si>
    <t>• Apta para aplicaciones con elementos superiores
• La puerta se mantiene abierta en cualquier posición, en
    ángulos entre 45° y 110°
• Amortiguación integrada regulable
• Campo de aplicación muy amplio</t>
  </si>
  <si>
    <t>• Swings above the cabinet
• Suitable for cabinets with cornices, pelmets or attached lights
• Extremely smooth movement
• Extremely strong
• Integrated adjustable closing damper</t>
  </si>
  <si>
    <t>• Allows additional cabinet installation above
•  Holds ﬂap securely open at any angle between between 
    45° and 110°
• Direct, 3-dimensional adjustment of front 
• Clip-on installation
• Wide range of applications
• Integrated adjustable closing damper</t>
  </si>
  <si>
    <t>• Allows additional cabinet installation above
•  Holds ﬂap securely open at any angle between between 
    45° and 105°
• Wide range of applications
• Spring-supported opening function</t>
  </si>
  <si>
    <t>•  Svänger upp över stommen
•  Lämpligt för skåp med krönlister, kopplingsbeslag 
    eller belysning
•  Speciellt lätt öppning
•  Hög stabilitet
•  Integrerad justerbar stängningsdämpning</t>
  </si>
  <si>
    <t>• Allows additional cabinet installation above
• Holds ﬂap securely open at any angle between between 
    45° and 110°
• Integrated adjustable closing damper
• 3-dimensional adjustment of front
• Clip-on installation
• For heavy ﬂaps</t>
  </si>
  <si>
    <t>• Allows additional cabinet installation above
• Holds ﬂap securely open at any angle between between 
   45° and 110°
• For heavy ﬂaps
• Integrated adjustable closing damper</t>
  </si>
  <si>
    <t>• Allows additional cabinet installation above
• Holds ﬂap securely open at any angle between between 
    45° and 110°
• Integrated adjustable closing damper
• Wide range of applications</t>
  </si>
  <si>
    <t>• Allows additional cabinet installation above
• Holds ﬂap securely open at any angle between 45° and 100°
• For ﬂaps of light to medium weight
• Integrated adjustable closing damper</t>
  </si>
  <si>
    <t>• Opens the door parallel to the cabinet
• Suitable for equipment cabinets and cabinets with cornices, 
    pelmets or attached lights
• Extremely smooth movement
• Extremely strong
• Integrated adjustable closing damper</t>
  </si>
  <si>
    <t>•  Öppnar parallellt mot stommen
•  Lämpligt för skåp med krönlister, överliggande skåp 
     eller belysning
•  Speciellt lätt öppning
•  Hög stabilitet
•  Integrerad justerbar stängningsdämpning</t>
  </si>
  <si>
    <t>Maniglia</t>
  </si>
  <si>
    <t>Manejar</t>
  </si>
  <si>
    <t>Handtag</t>
  </si>
  <si>
    <t>Längd</t>
  </si>
  <si>
    <t>Lunghezza</t>
  </si>
  <si>
    <t>Longueur</t>
  </si>
  <si>
    <t>Longitud</t>
  </si>
  <si>
    <t>Largeur</t>
  </si>
  <si>
    <t>Hauteur</t>
  </si>
  <si>
    <t>Profondeur</t>
  </si>
  <si>
    <t>Poids</t>
  </si>
  <si>
    <t>Peso</t>
  </si>
  <si>
    <t>Profundidad</t>
  </si>
  <si>
    <t>Altura</t>
  </si>
  <si>
    <t>Ancho</t>
  </si>
  <si>
    <t>Bredd</t>
  </si>
  <si>
    <t>Altezza</t>
  </si>
  <si>
    <t>Larghezza</t>
  </si>
  <si>
    <t>Matériel</t>
  </si>
  <si>
    <t>Materiale</t>
  </si>
  <si>
    <t>Material de MDF</t>
  </si>
  <si>
    <t>Idioma</t>
  </si>
  <si>
    <t>Langue</t>
  </si>
  <si>
    <t>Lingua</t>
  </si>
  <si>
    <t>Språk</t>
  </si>
  <si>
    <t>← zurück</t>
  </si>
  <si>
    <t>← back</t>
  </si>
  <si>
    <t>← Tillbaka</t>
  </si>
  <si>
    <t>← Indietro</t>
  </si>
  <si>
    <t>← Retour</t>
  </si>
  <si>
    <t>← Volver</t>
  </si>
  <si>
    <t>Ü</t>
  </si>
  <si>
    <t>Allemand</t>
  </si>
  <si>
    <t>Suédois</t>
  </si>
  <si>
    <t>Italien</t>
  </si>
  <si>
    <t>Espagnol</t>
  </si>
  <si>
    <t>Francés</t>
  </si>
  <si>
    <t>Sueco</t>
  </si>
  <si>
    <t>Alemán</t>
  </si>
  <si>
    <t>Tedesco</t>
  </si>
  <si>
    <t>Inglese</t>
  </si>
  <si>
    <t>Svedese</t>
  </si>
  <si>
    <t>Francese</t>
  </si>
  <si>
    <t>Spagnolo</t>
  </si>
  <si>
    <t>Spanska</t>
  </si>
  <si>
    <t>Svenska</t>
  </si>
  <si>
    <t>Engelska</t>
  </si>
  <si>
    <t>Tyska</t>
  </si>
  <si>
    <t>manuelle Eingabe:</t>
  </si>
  <si>
    <t>berechnetes Gewicht:</t>
  </si>
  <si>
    <t>calculated weight:</t>
  </si>
  <si>
    <t>manual value:</t>
  </si>
  <si>
    <t>gesamt:</t>
  </si>
  <si>
    <t>total:</t>
  </si>
  <si>
    <t>-----------------</t>
  </si>
  <si>
    <t>Afromosia</t>
  </si>
  <si>
    <t>Ahorn</t>
  </si>
  <si>
    <t>Amerikanische Linde</t>
  </si>
  <si>
    <t>Apfel</t>
  </si>
  <si>
    <t>Balsa</t>
  </si>
  <si>
    <t>Bambus</t>
  </si>
  <si>
    <t>Birke</t>
  </si>
  <si>
    <t>Birne</t>
  </si>
  <si>
    <t>Buche</t>
  </si>
  <si>
    <t>Douglasie</t>
  </si>
  <si>
    <t>Ebenholz</t>
  </si>
  <si>
    <t>Erle</t>
  </si>
  <si>
    <t>Esche</t>
  </si>
  <si>
    <t>Espe</t>
  </si>
  <si>
    <t>Fichte</t>
  </si>
  <si>
    <t>Gabun</t>
  </si>
  <si>
    <t>Hemlock</t>
  </si>
  <si>
    <t>Iroko</t>
  </si>
  <si>
    <t>Kastanie</t>
  </si>
  <si>
    <t>Kiefer</t>
  </si>
  <si>
    <t>Kirsche</t>
  </si>
  <si>
    <t>Lärche</t>
  </si>
  <si>
    <t>Mahagonie</t>
  </si>
  <si>
    <t>Mammutbaum</t>
  </si>
  <si>
    <t>Pappel</t>
  </si>
  <si>
    <t>Pappel, kanadisch</t>
  </si>
  <si>
    <t>Pekannussbaum</t>
  </si>
  <si>
    <t>Platane</t>
  </si>
  <si>
    <t>Pockholz</t>
  </si>
  <si>
    <t>Ramin</t>
  </si>
  <si>
    <t>Robinie</t>
  </si>
  <si>
    <t>Tanne</t>
  </si>
  <si>
    <t>Teak</t>
  </si>
  <si>
    <t>Ulme</t>
  </si>
  <si>
    <t>Weide</t>
  </si>
  <si>
    <t>Zeder</t>
  </si>
  <si>
    <t>Zypresse</t>
  </si>
  <si>
    <t>Glass</t>
  </si>
  <si>
    <t>Maple</t>
  </si>
  <si>
    <t>Basswood</t>
  </si>
  <si>
    <t>Apple</t>
  </si>
  <si>
    <t>Bamboo</t>
  </si>
  <si>
    <t>Birch</t>
  </si>
  <si>
    <t>Pear</t>
  </si>
  <si>
    <t>Beech</t>
  </si>
  <si>
    <t>Douglas Fir</t>
  </si>
  <si>
    <t>Ebony</t>
  </si>
  <si>
    <t>Alder</t>
  </si>
  <si>
    <t>Ash</t>
  </si>
  <si>
    <t>Aspen</t>
  </si>
  <si>
    <t>Spruce</t>
  </si>
  <si>
    <t>Gaboon</t>
  </si>
  <si>
    <t>Chestnut</t>
  </si>
  <si>
    <t>Pine</t>
  </si>
  <si>
    <t>Cherry</t>
  </si>
  <si>
    <t>Larch</t>
  </si>
  <si>
    <t>Mahogany</t>
  </si>
  <si>
    <t>Redwood</t>
  </si>
  <si>
    <t>Poplar</t>
  </si>
  <si>
    <t>Cottonwood</t>
  </si>
  <si>
    <t>Pecan</t>
  </si>
  <si>
    <t>Sycamore</t>
  </si>
  <si>
    <t>Lignum Vitae</t>
  </si>
  <si>
    <t>Locust</t>
  </si>
  <si>
    <t>Particle Board</t>
  </si>
  <si>
    <t>Fir</t>
  </si>
  <si>
    <t>Elm</t>
  </si>
  <si>
    <t>Hickory</t>
  </si>
  <si>
    <t>Willow</t>
  </si>
  <si>
    <t>Cedar</t>
  </si>
  <si>
    <t>Cypress</t>
  </si>
  <si>
    <t>Scharnier</t>
  </si>
  <si>
    <t>Beschlägen</t>
  </si>
  <si>
    <t>Fittings</t>
  </si>
  <si>
    <t>Montageplatte</t>
  </si>
  <si>
    <t>und</t>
  </si>
  <si>
    <t>e</t>
  </si>
  <si>
    <t>och</t>
  </si>
  <si>
    <t>y</t>
  </si>
  <si>
    <t>et</t>
  </si>
  <si>
    <t>and</t>
  </si>
  <si>
    <t>plaque de montage</t>
  </si>
  <si>
    <t>placa de montaje</t>
  </si>
  <si>
    <t>piastra di montaggio</t>
  </si>
  <si>
    <t>mounting plate</t>
  </si>
  <si>
    <t>Achtung hier keine Zellen hinzufügen violette Zellen und Auswahlfeld haben Bezug</t>
  </si>
  <si>
    <t>* Das angenommene spezifische Gewicht entspricht einem Durchschnittswert. 
   Tatsächliche Werte können variieren. 
   Wir empfehlen einen Probeanschlag.</t>
  </si>
  <si>
    <t>* The assumed specific gravity corresponds to the average. 
    Actual results may vary. 
    We recommend a trial fitting.</t>
  </si>
  <si>
    <t>* Il peso specifico assunto corrisponde alla media. 
   I risultati effettivi possono variare.
   Si consiglia un montaggio di prova.</t>
  </si>
  <si>
    <t>* La gravité supposée spécifique correspond à la moyenne. 
   Les résultats réels peuvent varier. 
   Nous recommandons un montage d'essai.</t>
  </si>
  <si>
    <t>* La gravedad específica supuesta corresponde a la media. 
   Los resultados reales pueden variar. 
   Se recomienda un ajuste de prueba.</t>
  </si>
  <si>
    <t>peso calculado:</t>
  </si>
  <si>
    <t>peso calcolato:</t>
  </si>
  <si>
    <t>poids calculé:</t>
  </si>
  <si>
    <t>beräknade vikten:</t>
  </si>
  <si>
    <t>manuell inmatning:</t>
  </si>
  <si>
    <t>inserimento manuale:</t>
  </si>
  <si>
    <t>saisie manuelle:</t>
  </si>
  <si>
    <t>entrada manual:</t>
  </si>
  <si>
    <t>Total:</t>
  </si>
  <si>
    <t>totale:</t>
  </si>
  <si>
    <t>totalt:</t>
  </si>
  <si>
    <t>gångjärn</t>
  </si>
  <si>
    <t>cerniera</t>
  </si>
  <si>
    <t>charnière</t>
  </si>
  <si>
    <t>bisagra</t>
  </si>
  <si>
    <t>Parallell lyftbeslag</t>
  </si>
  <si>
    <t>Täckning i mm</t>
  </si>
  <si>
    <t>Klaff</t>
  </si>
  <si>
    <t>höjd</t>
  </si>
  <si>
    <t>vikt</t>
  </si>
  <si>
    <t>Valt beslag passar inte för de angivna måtten</t>
  </si>
  <si>
    <t>Valt beslag passar inte för den angivna vikten</t>
  </si>
  <si>
    <t>Skåpshöjd</t>
  </si>
  <si>
    <t>Klaff vikt</t>
  </si>
  <si>
    <t>Beslag</t>
  </si>
  <si>
    <t>monteringsplatta</t>
  </si>
  <si>
    <t>Beställningsnummer</t>
  </si>
  <si>
    <t>Gran / Fur</t>
  </si>
  <si>
    <t>Lönn</t>
  </si>
  <si>
    <t>Lind</t>
  </si>
  <si>
    <t>Apel</t>
  </si>
  <si>
    <t>Balsam</t>
  </si>
  <si>
    <t>Bambu</t>
  </si>
  <si>
    <t>Björk</t>
  </si>
  <si>
    <t>Päron</t>
  </si>
  <si>
    <t>Bok</t>
  </si>
  <si>
    <t>Douglas trä</t>
  </si>
  <si>
    <t>Ebenholts</t>
  </si>
  <si>
    <t>Al</t>
  </si>
  <si>
    <t>Ask</t>
  </si>
  <si>
    <t>Asp</t>
  </si>
  <si>
    <t xml:space="preserve">Gran  </t>
  </si>
  <si>
    <t>Gabon</t>
  </si>
  <si>
    <t>Kastanj</t>
  </si>
  <si>
    <t>Furu</t>
  </si>
  <si>
    <t>Körsbär</t>
  </si>
  <si>
    <t>Lärkträ</t>
  </si>
  <si>
    <t>Mahongny</t>
  </si>
  <si>
    <t>Mammutträ</t>
  </si>
  <si>
    <t>Poppel</t>
  </si>
  <si>
    <t>Poppel, kanadensisk</t>
  </si>
  <si>
    <t>Pekan</t>
  </si>
  <si>
    <t>Spånskiva</t>
  </si>
  <si>
    <t>Alm</t>
  </si>
  <si>
    <t>Valnöt</t>
  </si>
  <si>
    <t>Vide</t>
  </si>
  <si>
    <t>Ceder</t>
  </si>
  <si>
    <t>Aluminiumrahmenscharnier</t>
  </si>
  <si>
    <t>aluminiumramgångjärn</t>
  </si>
  <si>
    <t>Wir empfehlen:</t>
  </si>
  <si>
    <t>We recommend:</t>
  </si>
  <si>
    <t>vi rekommenderar:</t>
  </si>
  <si>
    <t>hinge</t>
  </si>
  <si>
    <t>F152145248201</t>
  </si>
  <si>
    <t>F152147444201</t>
  </si>
  <si>
    <t>F152147440201</t>
  </si>
  <si>
    <t>F152145249201</t>
  </si>
  <si>
    <t>F152145250201</t>
  </si>
  <si>
    <t>F152147441201</t>
  </si>
  <si>
    <t>F152145251201</t>
  </si>
  <si>
    <t>F152145252201</t>
  </si>
  <si>
    <t>F152147442201</t>
  </si>
  <si>
    <t>F152145281201</t>
  </si>
  <si>
    <t>F152145282201</t>
  </si>
  <si>
    <t>F152147443201</t>
  </si>
  <si>
    <t>F152145253201</t>
  </si>
  <si>
    <t>F152145254201</t>
  </si>
  <si>
    <t>F152145237201</t>
  </si>
  <si>
    <t>F152145238201</t>
  </si>
  <si>
    <t>F152145239201</t>
  </si>
  <si>
    <t>F152145240201</t>
  </si>
  <si>
    <t>F152145241201</t>
  </si>
  <si>
    <t>F152145242201</t>
  </si>
  <si>
    <t>F152145243201</t>
  </si>
  <si>
    <t>F152145244201</t>
  </si>
  <si>
    <t>F152145245201</t>
  </si>
  <si>
    <t>F152145246201</t>
  </si>
  <si>
    <t>F152145247201</t>
  </si>
  <si>
    <t>F151145220201</t>
  </si>
  <si>
    <t>F151145218201</t>
  </si>
  <si>
    <t>F151145214201</t>
  </si>
  <si>
    <t>F151145216201</t>
  </si>
  <si>
    <t>F151145224201</t>
  </si>
  <si>
    <t>F151145222201</t>
  </si>
  <si>
    <t>F151145223201</t>
  </si>
  <si>
    <t>F151147706201</t>
  </si>
  <si>
    <t>F151147699201</t>
  </si>
  <si>
    <t>F151147702201</t>
  </si>
  <si>
    <t>F151147703201</t>
  </si>
  <si>
    <t>F151147704201</t>
  </si>
  <si>
    <t>F151147705201</t>
  </si>
  <si>
    <t>F151147696201</t>
  </si>
  <si>
    <t>F151147692201</t>
  </si>
  <si>
    <t>F151147688201</t>
  </si>
  <si>
    <t>F151147689201</t>
  </si>
  <si>
    <t>F151147690201</t>
  </si>
  <si>
    <t>F151147691201</t>
  </si>
  <si>
    <t>F151147682201</t>
  </si>
  <si>
    <t>F151147678201</t>
  </si>
  <si>
    <t>F151147679201</t>
  </si>
  <si>
    <t>F151147680201</t>
  </si>
  <si>
    <t>F151147681201</t>
  </si>
  <si>
    <t>F152000255201</t>
  </si>
  <si>
    <t>F152000256201</t>
  </si>
  <si>
    <t>F152000257201</t>
  </si>
  <si>
    <t>F152000258201</t>
  </si>
  <si>
    <t>F152000259201</t>
  </si>
  <si>
    <t>F152145055201</t>
  </si>
  <si>
    <t>F152145054201</t>
  </si>
  <si>
    <t>F151145221201</t>
  </si>
  <si>
    <t>F151145219201</t>
  </si>
  <si>
    <t>F151145215201</t>
  </si>
  <si>
    <t>F151145217201</t>
  </si>
  <si>
    <r>
      <rPr>
        <b/>
        <sz val="11"/>
        <color theme="1"/>
        <rFont val="Calibri"/>
        <family val="2"/>
        <scheme val="minor"/>
      </rPr>
      <t>F151</t>
    </r>
    <r>
      <rPr>
        <sz val="11"/>
        <color theme="1"/>
        <rFont val="Calibri"/>
        <family val="2"/>
        <scheme val="minor"/>
      </rPr>
      <t>145</t>
    </r>
    <r>
      <rPr>
        <b/>
        <sz val="11"/>
        <color theme="1"/>
        <rFont val="Calibri"/>
        <family val="2"/>
        <scheme val="minor"/>
      </rPr>
      <t>226201</t>
    </r>
  </si>
  <si>
    <t>F151145226201</t>
  </si>
  <si>
    <r>
      <rPr>
        <b/>
        <sz val="11"/>
        <color theme="1"/>
        <rFont val="Calibri"/>
        <family val="2"/>
        <scheme val="minor"/>
      </rPr>
      <t>F152</t>
    </r>
    <r>
      <rPr>
        <sz val="11"/>
        <color theme="1"/>
        <rFont val="Calibri"/>
        <family val="2"/>
        <scheme val="minor"/>
      </rPr>
      <t>145</t>
    </r>
    <r>
      <rPr>
        <b/>
        <sz val="11"/>
        <color theme="1"/>
        <rFont val="Calibri"/>
        <family val="2"/>
        <scheme val="minor"/>
      </rPr>
      <t>055201</t>
    </r>
  </si>
  <si>
    <t>Industrieverpackung erhältlich</t>
  </si>
  <si>
    <t>cabinet height</t>
  </si>
  <si>
    <t>flap weight</t>
  </si>
  <si>
    <t>Bulk package available</t>
  </si>
  <si>
    <t>Pannello di truciolato</t>
  </si>
  <si>
    <t>Acero</t>
  </si>
  <si>
    <t>Tiglio americano</t>
  </si>
  <si>
    <t>Melo</t>
  </si>
  <si>
    <t>Bambù</t>
  </si>
  <si>
    <t>Betulla</t>
  </si>
  <si>
    <t>Pero</t>
  </si>
  <si>
    <t>Faggio</t>
  </si>
  <si>
    <t>Douglasia costiera</t>
  </si>
  <si>
    <t>Ebano</t>
  </si>
  <si>
    <t>Ontano</t>
  </si>
  <si>
    <t>Frassino</t>
  </si>
  <si>
    <t>Tremolo</t>
  </si>
  <si>
    <t>Abete rosso</t>
  </si>
  <si>
    <t>Legno del Gabon</t>
  </si>
  <si>
    <t>Tsuga</t>
  </si>
  <si>
    <t>Castagno</t>
  </si>
  <si>
    <t>Pino</t>
  </si>
  <si>
    <t>Ciliegio</t>
  </si>
  <si>
    <t>Larice</t>
  </si>
  <si>
    <t>Mogano</t>
  </si>
  <si>
    <t>Sequoia</t>
  </si>
  <si>
    <t>Pioppo</t>
  </si>
  <si>
    <t>Pioppo canadese</t>
  </si>
  <si>
    <t>Platano</t>
  </si>
  <si>
    <t>Legno di guaiaco</t>
  </si>
  <si>
    <t>Legno ramino</t>
  </si>
  <si>
    <t>Robinia</t>
  </si>
  <si>
    <t>Abete</t>
  </si>
  <si>
    <t>Olmo</t>
  </si>
  <si>
    <t>Noce</t>
  </si>
  <si>
    <t>Salice</t>
  </si>
  <si>
    <t>Cedro</t>
  </si>
  <si>
    <t>Cipresso</t>
  </si>
  <si>
    <t>Materiale MDF</t>
  </si>
  <si>
    <t>Abete rosso/ pino</t>
  </si>
  <si>
    <t>Si consiglia di</t>
  </si>
  <si>
    <t>nous recommandons</t>
  </si>
  <si>
    <t>recomendamos</t>
  </si>
  <si>
    <t>tjocklek</t>
  </si>
  <si>
    <t>thickness</t>
  </si>
  <si>
    <t>Spessore</t>
  </si>
  <si>
    <t>Portugiesisch</t>
  </si>
  <si>
    <t xml:space="preserve">Alemão </t>
  </si>
  <si>
    <t>Inglês</t>
  </si>
  <si>
    <t>Frances</t>
  </si>
  <si>
    <t>Espanhol</t>
  </si>
  <si>
    <t>Bisagra para portas dobráveis</t>
  </si>
  <si>
    <t xml:space="preserve">http://www.grass.at </t>
  </si>
  <si>
    <t>• Para armários com frentes dividas
• Movimento especialmente leve
• Utilizável para frentes sem puxador
• Amortecedor integrado e regulável</t>
  </si>
  <si>
    <t>Bisagra para portas elevatórias em paralelo</t>
  </si>
  <si>
    <t xml:space="preserve">Bisagra para porta giratória </t>
  </si>
  <si>
    <t>• Gira por cima do armário
• Adequado para armários com aparelhos e armários com coroa, moldura ou luzes
• Movimento extremamente leve
• Alta estabilidade
• Amortecedor integrado e regulável</t>
  </si>
  <si>
    <t xml:space="preserve">Bisagra para portas elevatórias </t>
  </si>
  <si>
    <t>• Adequado para aplicações com elementos superiores
• A porta se mantém em qualquer posição, em ângulos entre 45° e 100°
• Para portas leves até peso médio
• Amortecedor integrado e regulável</t>
  </si>
  <si>
    <t>• Adequado para aplicações com elementos superiores
• A porta se mantém em qualquer posição, em ângulos entre 45° e 110°
• Amortecedor integrado e regulável
• Extenso campo de aplicação</t>
  </si>
  <si>
    <t xml:space="preserve">• Adequado para aplicações com elementos superiores
• A porta se mantém em qualquer posição, em ângulos entre 45° e 110°
• Regulação direta da frente tridimensional
• Montagem tipo clip
• Extenso campo de aplicação
• Amortecedor integrado e regulável </t>
  </si>
  <si>
    <t xml:space="preserve">• Adequado para aplicações com elementos superiores
• A porta se mantém aberta em qualquer posição, em ângulos entre 45° e 110°
• Para portas pesadas
• Amortecedor integrado e regulável
 </t>
  </si>
  <si>
    <t>• Adequado para aplicações com elementos superiores
• A porta se mantém aberta em qualquer posição, em ângulos entre 45° e 110°
• Amortecedor integrado e regulável 
• Regulação direta da frente tridimensional
• Montagem tipo clip
• Para portas pesadas</t>
  </si>
  <si>
    <t xml:space="preserve">• Adequado para aplicações com elementos superiores
• A porta se mantém aberta em qualquer posição, em ângulos entre 75° ou 90°
• Para portas de tamanho médio </t>
  </si>
  <si>
    <t xml:space="preserve">Braço </t>
  </si>
  <si>
    <t>•  Adequado para aplicações com elementos superiores
• A porta se mantém aberta em qualquer posição, em ângulos entre 45° e 105°
• Extenso campo de aplicação
• Função de abertura suplementaria</t>
  </si>
  <si>
    <t xml:space="preserve"> L-80 Bisagra para portas elevatórias em paralelo </t>
  </si>
  <si>
    <t xml:space="preserve"> F-20 Bisagra para portas dobráveis </t>
  </si>
  <si>
    <t> T-105 Braço</t>
  </si>
  <si>
    <t xml:space="preserve"> T-57 Bisagra para portas elevatórias </t>
  </si>
  <si>
    <t> T-76 Bisagra para portas elevatórias</t>
  </si>
  <si>
    <t> T-75 Bisagra para portas elevatórias</t>
  </si>
  <si>
    <t> T-71 Bisagra para portas elevatórias</t>
  </si>
  <si>
    <t> T-70 Bisagra para portas elevatórias</t>
  </si>
  <si>
    <t> T-65 Bisagra para portas elevatórias</t>
  </si>
  <si>
    <t xml:space="preserve"> S-35 Bisagra para portas giratórias </t>
  </si>
  <si>
    <t xml:space="preserve"> Conexão para madeira </t>
  </si>
  <si>
    <t xml:space="preserve"> 19 mm de alumínio </t>
  </si>
  <si>
    <t> Desenho para</t>
  </si>
  <si>
    <t> Tiragem em mm</t>
  </si>
  <si>
    <t> 13</t>
  </si>
  <si>
    <t> 14</t>
  </si>
  <si>
    <t> 16</t>
  </si>
  <si>
    <t> 17</t>
  </si>
  <si>
    <t> Frente</t>
  </si>
  <si>
    <t> Puxador</t>
  </si>
  <si>
    <t> Comprimento</t>
  </si>
  <si>
    <t> Largura</t>
  </si>
  <si>
    <t> Altura</t>
  </si>
  <si>
    <t>Profundidade</t>
  </si>
  <si>
    <t> Material</t>
  </si>
  <si>
    <t xml:space="preserve"> Bisagra selecionada não é apropriada para as medidas desejadas </t>
  </si>
  <si>
    <t> Bisagra selecionada não é apropriada para o peso desejado</t>
  </si>
  <si>
    <t>*O peso específico suposto corresponde à média.
Os valores reais podem variar.
Recomendamos uma montagem de teste.</t>
  </si>
  <si>
    <t> Soluções com</t>
  </si>
  <si>
    <t> Solução com</t>
  </si>
  <si>
    <t> Programa</t>
  </si>
  <si>
    <t> Altura do corpo</t>
  </si>
  <si>
    <t> Peso da porta</t>
  </si>
  <si>
    <t> Ajustamento</t>
  </si>
  <si>
    <t> Também se necessita</t>
  </si>
  <si>
    <t> Recomendamos:</t>
  </si>
  <si>
    <t xml:space="preserve"> Dobradiça </t>
  </si>
  <si>
    <t xml:space="preserve"> Placa de montagem </t>
  </si>
  <si>
    <t>Peso calculado:</t>
  </si>
  <si>
    <t>Entrada manual:</t>
  </si>
  <si>
    <t> Recomendação</t>
  </si>
  <si>
    <t> ← Voltar</t>
  </si>
  <si>
    <t xml:space="preserve"> Informação </t>
  </si>
  <si>
    <t>informação</t>
  </si>
  <si>
    <t> N° do pedido</t>
  </si>
  <si>
    <t> pagina</t>
  </si>
  <si>
    <t xml:space="preserve"> Gestão de energia </t>
  </si>
  <si>
    <t> Set (E+D)</t>
  </si>
  <si>
    <t> Esquerda</t>
  </si>
  <si>
    <t> Alavanca de direção tipo 1</t>
  </si>
  <si>
    <t> Alavanca de direção tipo 2</t>
  </si>
  <si>
    <t> Alavanca de direção tipo 3</t>
  </si>
  <si>
    <t> Alavanca de direção tipo 4</t>
  </si>
  <si>
    <t> Alavanca de direção tipo 5</t>
  </si>
  <si>
    <t> Alavanca de direção tipo 6</t>
  </si>
  <si>
    <t> Alavanca de direção tipo 7</t>
  </si>
  <si>
    <t> Mola A</t>
  </si>
  <si>
    <t> Mola B</t>
  </si>
  <si>
    <t>Mola C</t>
  </si>
  <si>
    <t> Mola D</t>
  </si>
  <si>
    <t> Mola E</t>
  </si>
  <si>
    <t> Mola standard</t>
  </si>
  <si>
    <t> Mola preta</t>
  </si>
  <si>
    <t> Mola branca</t>
  </si>
  <si>
    <t> Mola laranja</t>
  </si>
  <si>
    <t> Mola unilateral amarela</t>
  </si>
  <si>
    <t> Mola bilateral amarela</t>
  </si>
  <si>
    <t> Mola bilateral preto</t>
  </si>
  <si>
    <t xml:space="preserve"> Ajustável </t>
  </si>
  <si>
    <t> 1 suporte para frente</t>
  </si>
  <si>
    <t> 2 suportes para frente</t>
  </si>
  <si>
    <t> Set adaptador para portas com moldura de alumínio Kinvaro L-80</t>
  </si>
  <si>
    <t> Set adaptador para portas com moldura de alumínio Kinvaro F-20</t>
  </si>
  <si>
    <t> Set adaptador para portas com moldura de alumínio Kinvaro T-76</t>
  </si>
  <si>
    <t> Set adaptador para portas com moldura de alumínio Kinvaro T-71</t>
  </si>
  <si>
    <t> Set adaptador para portas com moldura de alumínio Kinvaro S-35</t>
  </si>
  <si>
    <t xml:space="preserve"> Suporte para frente Kinvaro T-105 direita </t>
  </si>
  <si>
    <t> Material MDF</t>
  </si>
  <si>
    <t> Aglomerado</t>
  </si>
  <si>
    <t>Set adaptador para portas com moldura de alumínio Kinvaro L-80</t>
  </si>
  <si>
    <t>Set adaptador para portas com moldura de alumínio Kinvaro F-20</t>
  </si>
  <si>
    <t>Set adaptador para portas com moldura de alumínio Kinvaro T-76</t>
  </si>
  <si>
    <t>Set adaptador para portas com moldura de alumínio Kinvaro T-71</t>
  </si>
  <si>
    <t>Set adaptador para portas com moldura de alumínio Kinvaro S-35</t>
  </si>
  <si>
    <t>suportes para frente Kinvaro T-105 esquerdo</t>
  </si>
  <si>
    <t>Aglomerado</t>
  </si>
  <si>
    <t>Abeto/ Pinheiro</t>
  </si>
  <si>
    <t>Vidro</t>
  </si>
  <si>
    <t>Ácer</t>
  </si>
  <si>
    <t>Tília americana</t>
  </si>
  <si>
    <t>maçã</t>
  </si>
  <si>
    <t>Bétula</t>
  </si>
  <si>
    <t>Pêra</t>
  </si>
  <si>
    <t>Faia</t>
  </si>
  <si>
    <t>Douglasia</t>
  </si>
  <si>
    <t>Pau-preto</t>
  </si>
  <si>
    <t>Amieiro</t>
  </si>
  <si>
    <t>Freixo</t>
  </si>
  <si>
    <t xml:space="preserve">Álamo </t>
  </si>
  <si>
    <t>Abeto</t>
  </si>
  <si>
    <t xml:space="preserve">Gabão </t>
  </si>
  <si>
    <t>Madeira de iroko</t>
  </si>
  <si>
    <t>Castanha</t>
  </si>
  <si>
    <t>Pinheiro</t>
  </si>
  <si>
    <t xml:space="preserve">Cereja </t>
  </si>
  <si>
    <t>Pinheiro lariço</t>
  </si>
  <si>
    <t>Mogno</t>
  </si>
  <si>
    <t>Sequoias</t>
  </si>
  <si>
    <t xml:space="preserve">Álamo canadense </t>
  </si>
  <si>
    <t>Arvore pecam</t>
  </si>
  <si>
    <t xml:space="preserve">Plátano </t>
  </si>
  <si>
    <t xml:space="preserve">Pau-santo </t>
  </si>
  <si>
    <t>Madeira de ramin</t>
  </si>
  <si>
    <t xml:space="preserve">Aglomerado </t>
  </si>
  <si>
    <t>Teca</t>
  </si>
  <si>
    <t>Noz</t>
  </si>
  <si>
    <t xml:space="preserve">Salgueiro </t>
  </si>
  <si>
    <t xml:space="preserve">Cedro </t>
  </si>
  <si>
    <t xml:space="preserve">Cipreste </t>
  </si>
  <si>
    <t>Base de montagem</t>
  </si>
  <si>
    <t xml:space="preserve">Dobradiça para moldura de alumínio </t>
  </si>
  <si>
    <t xml:space="preserve">Embalagem industrial disponível </t>
  </si>
  <si>
    <t>Português</t>
  </si>
  <si>
    <t>Portugués</t>
  </si>
  <si>
    <t>Portugais</t>
  </si>
  <si>
    <t>Portoghese</t>
  </si>
  <si>
    <t>Portuguese</t>
  </si>
  <si>
    <t>Portugisiska</t>
  </si>
  <si>
    <t>Acajou</t>
  </si>
  <si>
    <t>Sapin Rouge</t>
  </si>
  <si>
    <t>Sapin</t>
  </si>
  <si>
    <t>Mélèze</t>
  </si>
  <si>
    <t>Pin</t>
  </si>
  <si>
    <t>L´érable</t>
  </si>
  <si>
    <t>Hêtre</t>
  </si>
  <si>
    <t>Frêne</t>
  </si>
  <si>
    <t>Robinier</t>
  </si>
  <si>
    <t>Pin douglas</t>
  </si>
  <si>
    <t>Cèdre rouge</t>
  </si>
  <si>
    <t>Ttilleul</t>
  </si>
  <si>
    <t>Pommier</t>
  </si>
  <si>
    <t>Bambou</t>
  </si>
  <si>
    <t>Bouleau</t>
  </si>
  <si>
    <t>Poire</t>
  </si>
  <si>
    <t>Ébène</t>
  </si>
  <si>
    <t>Aulne</t>
  </si>
  <si>
    <t>Tremble</t>
  </si>
  <si>
    <t>Marron</t>
  </si>
  <si>
    <t>Cerise</t>
  </si>
  <si>
    <t>Séquoia géant</t>
  </si>
  <si>
    <t>Afrormosia</t>
  </si>
  <si>
    <t>Peuplier</t>
  </si>
  <si>
    <t>Peuplier canadien</t>
  </si>
  <si>
    <t>Noix de pécan</t>
  </si>
  <si>
    <t>Guaiacum</t>
  </si>
  <si>
    <t>Orme</t>
  </si>
  <si>
    <t>Noyer commun</t>
  </si>
  <si>
    <t>Saule</t>
  </si>
  <si>
    <t>Cyprès</t>
  </si>
  <si>
    <t>Ädelgran</t>
  </si>
  <si>
    <t>Platansläktet</t>
  </si>
  <si>
    <t>Arce</t>
  </si>
  <si>
    <t>Tilo</t>
  </si>
  <si>
    <t>Manzana</t>
  </si>
  <si>
    <t>Bambú</t>
  </si>
  <si>
    <t>Abedul</t>
  </si>
  <si>
    <t>Pera</t>
  </si>
  <si>
    <t>Haya</t>
  </si>
  <si>
    <t>Ébano</t>
  </si>
  <si>
    <t>Aliso</t>
  </si>
  <si>
    <t>Fresno</t>
  </si>
  <si>
    <t>Álamo</t>
  </si>
  <si>
    <t>Pícea</t>
  </si>
  <si>
    <t>Gabón</t>
  </si>
  <si>
    <t>Castaña</t>
  </si>
  <si>
    <t>Cereza</t>
  </si>
  <si>
    <t>Alerce</t>
  </si>
  <si>
    <t>Caoba</t>
  </si>
  <si>
    <t>Sequoioideae</t>
  </si>
  <si>
    <t>Álamo del Canadá</t>
  </si>
  <si>
    <t>Pacana</t>
  </si>
  <si>
    <t>Plátano</t>
  </si>
  <si>
    <t>Madera de ramin</t>
  </si>
  <si>
    <t>Tablero de aglomerado</t>
  </si>
  <si>
    <t>Walnuss</t>
  </si>
  <si>
    <t>Nuez</t>
  </si>
  <si>
    <t>Sauce</t>
  </si>
  <si>
    <t>Ciprés</t>
  </si>
  <si>
    <t>Base</t>
  </si>
  <si>
    <t>Bisagra para marcos de aluminio</t>
  </si>
  <si>
    <t>Embalaje industrial disponible</t>
  </si>
  <si>
    <t>Türkisch</t>
  </si>
  <si>
    <t>Lisan</t>
  </si>
  <si>
    <t>Almanca</t>
  </si>
  <si>
    <t>İngilizce</t>
  </si>
  <si>
    <t>İsveççe</t>
  </si>
  <si>
    <t>İtalyanca</t>
  </si>
  <si>
    <t>Fransızca</t>
  </si>
  <si>
    <t>İspanyolca</t>
  </si>
  <si>
    <t>Portekizce</t>
  </si>
  <si>
    <t>Türkçe</t>
  </si>
  <si>
    <t>Katlanır Kapak Sistemi</t>
  </si>
  <si>
    <t xml:space="preserve">• Parçalı cepheli üst dolaplar için
• Olağanüstü hafif hareket akışı
• Kulpsuz cepheler için kullanılabilir
• Entegre yavaş kapanma mekanizması
</t>
  </si>
  <si>
    <t>Paralel kalkan makas donanımı</t>
  </si>
  <si>
    <t>• Dolaba paralel açar
•  Alın çıtalı, pervazlı veya üstten aydınlatmalı dolaplar için uygundur
• Olağanüstü hafif hareket akışı
• Çok sağlam
• Entegre yavaş kapanma mekanizması</t>
  </si>
  <si>
    <t xml:space="preserve"> Döner kapak donanımı</t>
  </si>
  <si>
    <t>• Makaslı dolabın üzerine dolap eklenebilir
•  Alın çıtalı, pervazlı veya üstten aydınlatmalı dolaplar için uygundur
• Olağandışı hafif hareket akışı
• Çok sağlam
• Entegre yavaş kapanma mekanizması</t>
  </si>
  <si>
    <t>Döner kapak makası</t>
  </si>
  <si>
    <t>• Makaslı dolabın üzerine dolap eklenebilir
•  Kapak 45° ila 100° arası her açıda güvenli bir biçimde durur
• Hafif ve orta ağırlıkta kapaklar için
• Entegre yavaş kapanma mekanizması</t>
  </si>
  <si>
    <t>• Makaslı dolabın üzerine dolap eklenebilir
•  Kapak 45° ila 110° arası her açıda güvenli bir biçimde durur
• Entegre yavaş kapanma mekanizması
• Geniş kullanım alanı</t>
  </si>
  <si>
    <t>• Makaslı dolabın üzerine dolap eklenebilir
•  Kapak 45° ila 110° arası her açıda güvenli bir biçimde durur
• 3-boyutlu kapak ayarı
• Klipsleyerek montaj
• Geniş kullanım alanı
• Entegre yavaş kapanma mekanizması</t>
  </si>
  <si>
    <t>• Makaslı dolabın üzerine dolap eklenebilir
•  Kapak 45° ila 110° arası her açıda güvenli bir biçimde durur
• Ağır kapaklar için
• Entegre yavaş kapanma mekanizması</t>
  </si>
  <si>
    <t>• Makaslı dolabın üzerine dolap eklenebilir
•  Kapak 45° ila 110° arası her açıda güvenli bir biçimde durur
• Entegre yavaş kapanma mekanizması
• 3-boyutlu kapak ayarı
• Klipsleyerek montaj
• Ağır kapaklar için</t>
  </si>
  <si>
    <t>• Üzerine dolap monte edilebilir
• 75° veya 90° açılma derecesi ayarlanabilir
• Orta büyüklükte kapaklar için</t>
  </si>
  <si>
    <t>Menteşeli Makas sistemi</t>
  </si>
  <si>
    <t>• Makaslı dolabın üzerine dolap eklenebilir
•  Kapak 45° ila 105° arası her açıda güvenli bir biçimde durur
• Geniş kullanım alanı
• Kuvvet destekli açma fonksiyonu</t>
  </si>
  <si>
    <t xml:space="preserve"> L-80 Paralel kalkan makas donanımı</t>
  </si>
  <si>
    <t xml:space="preserve">F-20 Katlanır kapak donanımı </t>
  </si>
  <si>
    <t>T-105 Menteşeli Makas sistemi</t>
  </si>
  <si>
    <t>T-57 Döner kapak makası</t>
  </si>
  <si>
    <t>T-76 Döner kapak makası</t>
  </si>
  <si>
    <t>T-75 Döner kapak makası</t>
  </si>
  <si>
    <t>T-71 Döner kapak makası</t>
  </si>
  <si>
    <t>T-70 Döner kapak makası</t>
  </si>
  <si>
    <t>T-65 Döner kapak makası</t>
  </si>
  <si>
    <t>S-35 Döner kapak donanımı</t>
  </si>
  <si>
    <t>Ahsap bağlantı</t>
  </si>
  <si>
    <t>19mm Alu</t>
  </si>
  <si>
    <t>Uygulama</t>
  </si>
  <si>
    <t>Bini mm</t>
  </si>
  <si>
    <t>Kapak</t>
  </si>
  <si>
    <t>Kulp</t>
  </si>
  <si>
    <t>Uzunluk</t>
  </si>
  <si>
    <t>Genişlik</t>
  </si>
  <si>
    <t>Yükseklik</t>
  </si>
  <si>
    <t>Kalınlık</t>
  </si>
  <si>
    <t>Malzeme</t>
  </si>
  <si>
    <t>Ağırlık</t>
  </si>
  <si>
    <t>Seçilmiş olan Makas sistemi işlenilmesi istenilen ölçüler için uygun değildir</t>
  </si>
  <si>
    <t>Seçilmiş olan Makas sistemi işlenilmesi istenilen kapak ağırlığı için uygun değildir</t>
  </si>
  <si>
    <t>*Hesaplama için kullanılan Malzeme ağırlık birimleri ortalama verilerdir.
Gerçek ağırlık farklı olabilir.
Deneme uygulaması yapılması tarafımızca tavsiye edilir.</t>
  </si>
  <si>
    <t>Çözümler</t>
  </si>
  <si>
    <t>Çözüm</t>
  </si>
  <si>
    <t>Mekanizmalar</t>
  </si>
  <si>
    <t>Gövde Yüksekliği</t>
  </si>
  <si>
    <t>Kapak ağırlığı</t>
  </si>
  <si>
    <t>Mekanizma</t>
  </si>
  <si>
    <t>Bunun haricinde gerekenler</t>
  </si>
  <si>
    <t>Tavsiyemiz</t>
  </si>
  <si>
    <t>ve</t>
  </si>
  <si>
    <t>Hesaplanan ağırlık</t>
  </si>
  <si>
    <t>Manuel giriş</t>
  </si>
  <si>
    <t>Toplam</t>
  </si>
  <si>
    <t>Tavsiye</t>
  </si>
  <si>
    <t>← geri</t>
  </si>
  <si>
    <t>Bilgilendirme</t>
  </si>
  <si>
    <t>Sipariş no</t>
  </si>
  <si>
    <t>Sayfa</t>
  </si>
  <si>
    <t>Güç Yönetmesi</t>
  </si>
  <si>
    <t>Set (sol/sağ)</t>
  </si>
  <si>
    <t>Sol</t>
  </si>
  <si>
    <t>Makas kolu Tip 1</t>
  </si>
  <si>
    <t>Makas kolu Tip 2</t>
  </si>
  <si>
    <t>Makas kolu Tip 3</t>
  </si>
  <si>
    <t>Makas kolu Tip 4</t>
  </si>
  <si>
    <t>Makas kolu Tip 5</t>
  </si>
  <si>
    <t>Makas kolu Tip 6</t>
  </si>
  <si>
    <t>Makas kolu Tip 7</t>
  </si>
  <si>
    <t>Güç Faktör A</t>
  </si>
  <si>
    <t>Güç Faktör B</t>
  </si>
  <si>
    <t>Güç Faktör C</t>
  </si>
  <si>
    <t>Güç Faktör D</t>
  </si>
  <si>
    <t>Güç Faktör E</t>
  </si>
  <si>
    <t>Yay Standard</t>
  </si>
  <si>
    <t>Yay Siyah</t>
  </si>
  <si>
    <t>Yay Beyaz</t>
  </si>
  <si>
    <t>Yay Turuncu</t>
  </si>
  <si>
    <t>Yay sarı tek taraf</t>
  </si>
  <si>
    <t>Yay sarı çift taraf</t>
  </si>
  <si>
    <t>Yay siyah çift taraf</t>
  </si>
  <si>
    <t>ayarlanabilir</t>
  </si>
  <si>
    <t>1 T-105 makas</t>
  </si>
  <si>
    <t>2 T-105 makas</t>
  </si>
  <si>
    <t>Alüminyum çerçeve adaptörü L-80 Set</t>
  </si>
  <si>
    <t>Alüminyum çerçeve adaptörü F-20 Set</t>
  </si>
  <si>
    <t>Alüminyum çerçeve adaptörü T-76 Set</t>
  </si>
  <si>
    <t>Alüminyum çerçeve adaptörü T-71 Set</t>
  </si>
  <si>
    <t>Alüminyum çerçeve adaptörü S-35 Set</t>
  </si>
  <si>
    <t>T-105 Makas sağ</t>
  </si>
  <si>
    <t>MDF</t>
  </si>
  <si>
    <t>Sunta</t>
  </si>
  <si>
    <t>Massiv</t>
  </si>
  <si>
    <t>Cam</t>
  </si>
  <si>
    <t>İsfendan ağacı</t>
  </si>
  <si>
    <t>Amerikan ıhlamur ağacı</t>
  </si>
  <si>
    <t>Elma Ağacı</t>
  </si>
  <si>
    <t>Bambu ağacı</t>
  </si>
  <si>
    <t>Huş ağacı</t>
  </si>
  <si>
    <t>Armut ağacı</t>
  </si>
  <si>
    <t>Kayın ağacı</t>
  </si>
  <si>
    <t>Abanoz ağacı</t>
  </si>
  <si>
    <t>Kızıl ağacı</t>
  </si>
  <si>
    <t>Dişbudak ağacı</t>
  </si>
  <si>
    <t>Kavak Ağacı</t>
  </si>
  <si>
    <t>Ladin ağacı</t>
  </si>
  <si>
    <t>Kestane Ağacı</t>
  </si>
  <si>
    <t>Çam ağacı</t>
  </si>
  <si>
    <t>Kiraz ağacı</t>
  </si>
  <si>
    <t>Karaçam ağacı</t>
  </si>
  <si>
    <t>Maun ağacı</t>
  </si>
  <si>
    <t>Mamut ağacı</t>
  </si>
  <si>
    <t>Kavak ağacı</t>
  </si>
  <si>
    <t xml:space="preserve">Kavak ağacı, Kanada'ya ait </t>
  </si>
  <si>
    <t>Tik ağacı</t>
  </si>
  <si>
    <t>Karaağaç</t>
  </si>
  <si>
    <t>Ceviz ağacı</t>
  </si>
  <si>
    <t>Söğüt ağacı</t>
  </si>
  <si>
    <t>Sedir ağacı</t>
  </si>
  <si>
    <t xml:space="preserve">Selvi ağacı </t>
  </si>
  <si>
    <t>Turco</t>
  </si>
  <si>
    <t>Turkish</t>
  </si>
  <si>
    <t>Turc</t>
  </si>
  <si>
    <t>中文</t>
  </si>
  <si>
    <t>语言</t>
  </si>
  <si>
    <t>德语</t>
  </si>
  <si>
    <t>英语</t>
  </si>
  <si>
    <t>瑞典语</t>
  </si>
  <si>
    <t>意大利语</t>
  </si>
  <si>
    <t>法语</t>
  </si>
  <si>
    <t>西班牙语</t>
  </si>
  <si>
    <t>葡萄牙语</t>
  </si>
  <si>
    <t>上翻系统</t>
  </si>
  <si>
    <t>• 适用于所有可安装前支撑的柜体
• 开合顺畅
• 免拉手设计
• 可调节集成阻尼</t>
  </si>
  <si>
    <t>平移上翻</t>
  </si>
  <si>
    <t>• 与柜体平行开合
• 适用于有擔板、门帘、
  吸灯的柜体
• 开合顺畅
• 力度大
• 可调节集成阻尼</t>
  </si>
  <si>
    <t>折叠上翻系统</t>
  </si>
  <si>
    <t>• 柜体上方折叠
• 适用于有儋板、门帘、
  吸灯的柜体
• 开合顺畅
• 力度大
• 可调节集成阻尼</t>
  </si>
  <si>
    <t>• 上方可增加柜体
• 45°-100°任意角度随意停
• 适合中等大小门板重量
• 可调节集成阻尼</t>
  </si>
  <si>
    <t xml:space="preserve">• 上方可增加柜体
• 45°-110°角度随意停
• 可调节集成阻尼
• 使用范围广
</t>
  </si>
  <si>
    <t>• 上方可增加柜体
• 45°-110°任意角度随意停
• 可直接从正面三维调节
• 快装
• 使用范围广
• 可调节集成阻尼</t>
  </si>
  <si>
    <t>• 上方可增加柜体
• 45°-110°任意角度随意停
• 使用重型门板
• 可调节集成阻尼</t>
  </si>
  <si>
    <t>• 上方可增加柜体
• 45°-110°任意角度随意停
• 可调节集成阻尼
• 正面三维调节
• 快装
• 适用于重型门板</t>
  </si>
  <si>
    <t>Http://www.grass.at</t>
  </si>
  <si>
    <t>• 上方可增加柜体
• 75°或90°门板角度
• 适用于中型门板</t>
  </si>
  <si>
    <t>随意停</t>
  </si>
  <si>
    <t>• 上方可增加柜体 
• 45°-105°任意角度随意停
• 适用范围广
• 配置弹簧</t>
  </si>
  <si>
    <t>L-80 平移门撑</t>
  </si>
  <si>
    <t>F-20 折叠上翻</t>
  </si>
  <si>
    <t>T-105 随意停</t>
  </si>
  <si>
    <t>T-57 上翻系统</t>
  </si>
  <si>
    <t>T-76 上翻系统</t>
  </si>
  <si>
    <t>T-75 上翻系统</t>
  </si>
  <si>
    <t>T-71 上翻系统</t>
  </si>
  <si>
    <t>T-70 上翻系统</t>
  </si>
  <si>
    <t>T-65 上翻系统</t>
  </si>
  <si>
    <t>S-35 折叠上翻</t>
  </si>
  <si>
    <t>木制链接件</t>
  </si>
  <si>
    <t>19mm 铝制材料</t>
  </si>
  <si>
    <t>适用于</t>
  </si>
  <si>
    <t>全开 mm</t>
  </si>
  <si>
    <t>上翻</t>
  </si>
  <si>
    <t>把手</t>
  </si>
  <si>
    <t>长</t>
  </si>
  <si>
    <t>宽</t>
  </si>
  <si>
    <t>高</t>
  </si>
  <si>
    <t>厚度</t>
  </si>
  <si>
    <t>材质</t>
  </si>
  <si>
    <t>重量</t>
  </si>
  <si>
    <t>提供的测量数据中没有想要的数据</t>
  </si>
  <si>
    <t>提供的重量数据中没有想要的数据</t>
  </si>
  <si>
    <t>*以上提供的重力皆为平均数值。
 实际使用中数值可能会有不同。
 建议安装之前先进行测试。</t>
  </si>
  <si>
    <t>解决方案</t>
  </si>
  <si>
    <t>门板高度</t>
  </si>
  <si>
    <t>上翻重量</t>
  </si>
  <si>
    <t>也许提供</t>
  </si>
  <si>
    <t>我们建议安装：</t>
  </si>
  <si>
    <t>铰链</t>
  </si>
  <si>
    <t>以及</t>
  </si>
  <si>
    <t>安装底座</t>
  </si>
  <si>
    <t>计算重量：</t>
  </si>
  <si>
    <t>数值：</t>
  </si>
  <si>
    <t>共计：</t>
  </si>
  <si>
    <t>推荐</t>
  </si>
  <si>
    <t>← 返回</t>
  </si>
  <si>
    <t>信息</t>
  </si>
  <si>
    <t>货号</t>
  </si>
  <si>
    <t>侧边</t>
  </si>
  <si>
    <t>动力管理</t>
  </si>
  <si>
    <t>套（左+右）</t>
  </si>
  <si>
    <t>左边</t>
  </si>
  <si>
    <t>连动杆型号1</t>
  </si>
  <si>
    <t>连动杆型号2</t>
  </si>
  <si>
    <t>连动杆型号3</t>
  </si>
  <si>
    <t>连动杆型号4</t>
  </si>
  <si>
    <t>连动杆型号5</t>
  </si>
  <si>
    <t>连动杆型号6</t>
  </si>
  <si>
    <t>连动杆型号7</t>
  </si>
  <si>
    <t>弹簧 A</t>
  </si>
  <si>
    <t>弹簧 B</t>
  </si>
  <si>
    <t>弹簧 C</t>
  </si>
  <si>
    <t>弹簧 D</t>
  </si>
  <si>
    <t>弹簧 E</t>
  </si>
  <si>
    <t>标准弹簧</t>
  </si>
  <si>
    <t>黑色弹簧</t>
  </si>
  <si>
    <t>白色弹簧</t>
  </si>
  <si>
    <t>橙色弹簧</t>
  </si>
  <si>
    <t>一面黄色弹簧</t>
  </si>
  <si>
    <t>两面黄色弹簧</t>
  </si>
  <si>
    <t>两面黑色弹簧</t>
  </si>
  <si>
    <t>可调节</t>
  </si>
  <si>
    <t>1 个上翻支撑</t>
  </si>
  <si>
    <t>2 个上翻支撑</t>
  </si>
  <si>
    <t>铝框门 Kinvaro L-80</t>
  </si>
  <si>
    <t>铝框门 Kinvaro F-20</t>
  </si>
  <si>
    <t>铝框门 Kinvaro T-76</t>
  </si>
  <si>
    <t>铝框门 Kinvaro T-71</t>
  </si>
  <si>
    <t>铝矿门 Kinvaro S-35</t>
  </si>
  <si>
    <t>随意停Kinvaro T-105 右边</t>
  </si>
  <si>
    <t>中纤板材料</t>
  </si>
  <si>
    <t>刨花板</t>
  </si>
  <si>
    <t>杉木/松木</t>
  </si>
  <si>
    <t>玻璃</t>
  </si>
  <si>
    <t>红豆木</t>
  </si>
  <si>
    <t>枫木</t>
  </si>
  <si>
    <t>椴木</t>
  </si>
  <si>
    <t>苹果木</t>
  </si>
  <si>
    <t>巴尔沙木</t>
  </si>
  <si>
    <t>竹</t>
  </si>
  <si>
    <t>桦木</t>
  </si>
  <si>
    <t>梨木</t>
  </si>
  <si>
    <t>山毛榉</t>
  </si>
  <si>
    <t>花旗松</t>
  </si>
  <si>
    <t>乌木</t>
  </si>
  <si>
    <t>赤杨木</t>
  </si>
  <si>
    <t>白蜡木</t>
  </si>
  <si>
    <t>山杨木</t>
  </si>
  <si>
    <t>云杉</t>
  </si>
  <si>
    <t>加班木</t>
  </si>
  <si>
    <t>铁杉</t>
  </si>
  <si>
    <t>绿柄桑</t>
  </si>
  <si>
    <t>栗木</t>
  </si>
  <si>
    <t>松</t>
  </si>
  <si>
    <t>樱桃木</t>
  </si>
  <si>
    <t>落叶松木</t>
  </si>
  <si>
    <t>红木</t>
  </si>
  <si>
    <t>红杉</t>
  </si>
  <si>
    <t>白杨木</t>
  </si>
  <si>
    <t>杨木</t>
  </si>
  <si>
    <t>胡桃木</t>
  </si>
  <si>
    <t>梧桐木</t>
  </si>
  <si>
    <t>愈创木</t>
  </si>
  <si>
    <t>白木</t>
  </si>
  <si>
    <t>洋槐</t>
  </si>
  <si>
    <t>冷杉</t>
  </si>
  <si>
    <t>柚木</t>
  </si>
  <si>
    <t>榆木</t>
  </si>
  <si>
    <t>山核桃木</t>
  </si>
  <si>
    <t>柳木</t>
  </si>
  <si>
    <t>雪松</t>
  </si>
  <si>
    <t>柏木</t>
  </si>
  <si>
    <t>Chinesisch</t>
  </si>
  <si>
    <t>Chinese</t>
  </si>
  <si>
    <t>土耳其语</t>
  </si>
  <si>
    <t>Kinesiska</t>
  </si>
  <si>
    <t>Turkiska</t>
  </si>
  <si>
    <t>Cinese</t>
  </si>
  <si>
    <t>Chinois</t>
  </si>
  <si>
    <t>Chino</t>
  </si>
  <si>
    <t>Chinês</t>
  </si>
  <si>
    <t>Çince</t>
  </si>
  <si>
    <t>German</t>
  </si>
  <si>
    <t>English</t>
  </si>
  <si>
    <t>Swedish</t>
  </si>
  <si>
    <t>Italian</t>
  </si>
  <si>
    <t>French</t>
  </si>
  <si>
    <t>Spanish</t>
  </si>
  <si>
    <t>Russisch</t>
  </si>
  <si>
    <t>Russian</t>
  </si>
  <si>
    <t>Russo</t>
  </si>
  <si>
    <t>Russe</t>
  </si>
  <si>
    <t>Ruso</t>
  </si>
  <si>
    <t>Rusça</t>
  </si>
  <si>
    <t xml:space="preserve"> 俄语</t>
  </si>
  <si>
    <t>Rysk</t>
  </si>
  <si>
    <r>
      <rPr>
        <sz val="11"/>
        <color theme="1"/>
        <rFont val="Calibri"/>
        <family val="2"/>
      </rPr>
      <t>Язык</t>
    </r>
  </si>
  <si>
    <r>
      <rPr>
        <sz val="11"/>
        <color theme="1"/>
        <rFont val="Calibri"/>
        <family val="2"/>
      </rPr>
      <t>Немецкий</t>
    </r>
  </si>
  <si>
    <r>
      <rPr>
        <sz val="11"/>
        <color theme="1"/>
        <rFont val="Calibri"/>
        <family val="2"/>
      </rPr>
      <t>Английский</t>
    </r>
  </si>
  <si>
    <r>
      <rPr>
        <sz val="11"/>
        <color theme="1"/>
        <rFont val="Calibri"/>
        <family val="2"/>
      </rPr>
      <t>Шведский</t>
    </r>
  </si>
  <si>
    <r>
      <rPr>
        <sz val="11"/>
        <color theme="1"/>
        <rFont val="Calibri"/>
        <family val="2"/>
      </rPr>
      <t>Итальянский</t>
    </r>
  </si>
  <si>
    <r>
      <rPr>
        <sz val="11"/>
        <color theme="1"/>
        <rFont val="Calibri"/>
        <family val="2"/>
      </rPr>
      <t>Французский</t>
    </r>
  </si>
  <si>
    <r>
      <rPr>
        <sz val="11"/>
        <color theme="1"/>
        <rFont val="Calibri"/>
        <family val="2"/>
      </rPr>
      <t>Испанский</t>
    </r>
  </si>
  <si>
    <r>
      <rPr>
        <sz val="11"/>
        <color theme="1"/>
        <rFont val="Calibri"/>
        <family val="2"/>
      </rPr>
      <t>Португальский</t>
    </r>
  </si>
  <si>
    <r>
      <rPr>
        <sz val="11"/>
        <color theme="1"/>
        <rFont val="Calibri"/>
        <family val="2"/>
      </rPr>
      <t>Турецкий</t>
    </r>
  </si>
  <si>
    <r>
      <rPr>
        <sz val="11"/>
        <color theme="1"/>
        <rFont val="Calibri"/>
        <family val="2"/>
      </rPr>
      <t>Китайский</t>
    </r>
  </si>
  <si>
    <r>
      <rPr>
        <sz val="11"/>
        <color theme="1"/>
        <rFont val="Calibri"/>
        <family val="2"/>
      </rPr>
      <t>Складной подъемник</t>
    </r>
  </si>
  <si>
    <r>
      <rPr>
        <sz val="11"/>
        <color theme="1"/>
        <rFont val="Calibri"/>
        <family val="2"/>
      </rPr>
      <t>F-20</t>
    </r>
  </si>
  <si>
    <r>
      <rPr>
        <sz val="11"/>
        <color theme="1"/>
        <rFont val="Calibri"/>
        <family val="2"/>
      </rPr>
      <t>• Для навесных шкафов с раздельными фасадами
• Очень легкий ход
• Возможность использования с фасадами без ручек
• Встроенный регулируемый демпфер</t>
    </r>
  </si>
  <si>
    <r>
      <rPr>
        <sz val="11"/>
        <color theme="1"/>
        <rFont val="Calibri"/>
        <family val="2"/>
      </rPr>
      <t>Вертикальный подъемник</t>
    </r>
  </si>
  <si>
    <r>
      <rPr>
        <sz val="11"/>
        <color theme="1"/>
        <rFont val="Calibri"/>
        <family val="2"/>
      </rPr>
      <t>L-80</t>
    </r>
  </si>
  <si>
    <r>
      <rPr>
        <sz val="11"/>
        <color theme="1"/>
        <rFont val="Calibri"/>
        <family val="2"/>
      </rPr>
      <t>• Открывается параллельно корпусу
• Подходит для установки электроприборов и шкафов
   с верхними накладными планками, карнизами и навесными
   светильниками
• Чрезвычайно легкий ход
• Высокая стабильность
• Встроенный регулируемый демпфер</t>
    </r>
  </si>
  <si>
    <r>
      <rPr>
        <sz val="11"/>
        <color theme="1"/>
        <rFont val="Calibri"/>
        <family val="2"/>
      </rPr>
      <t>Откидной подъемник</t>
    </r>
  </si>
  <si>
    <r>
      <rPr>
        <sz val="11"/>
        <color theme="1"/>
        <rFont val="Calibri"/>
        <family val="2"/>
      </rPr>
      <t>S-35</t>
    </r>
  </si>
  <si>
    <r>
      <rPr>
        <sz val="11"/>
        <color theme="1"/>
        <rFont val="Calibri"/>
        <family val="2"/>
      </rPr>
      <t>• Откидывается над корпусом
• Подходит для шкафов с верхними накладными планками,
    карнизами и навесными светильниками
• Чрезвычайно легкий ход
• Высокая стабильность
• Встроенный регулируемый демпфер</t>
    </r>
  </si>
  <si>
    <r>
      <rPr>
        <sz val="11"/>
        <color theme="1"/>
        <rFont val="Calibri"/>
        <family val="2"/>
      </rPr>
      <t>Поворотный подъемник</t>
    </r>
  </si>
  <si>
    <r>
      <rPr>
        <sz val="11"/>
        <color theme="1"/>
        <rFont val="Calibri"/>
        <family val="2"/>
      </rPr>
      <t>T-65</t>
    </r>
  </si>
  <si>
    <r>
      <rPr>
        <sz val="11"/>
        <color theme="1"/>
        <rFont val="Calibri"/>
        <family val="2"/>
      </rPr>
      <t xml:space="preserve">• Подходит для шкафов с другими корпусами сверху
• Надежно удерживает створку в любом положении от 45° до
   100°
• Для легких и средних створок
• Встроенный регулируемый демпфер
</t>
    </r>
  </si>
  <si>
    <r>
      <rPr>
        <sz val="11"/>
        <color theme="1"/>
        <rFont val="Calibri"/>
        <family val="2"/>
      </rPr>
      <t>T-70</t>
    </r>
  </si>
  <si>
    <r>
      <rPr>
        <sz val="11"/>
        <color theme="1"/>
        <rFont val="Calibri"/>
        <family val="2"/>
      </rPr>
      <t>• Подходит для шкафов с другими корпусами сверху
• Надежно удерживает створку в любом положении от 45° до
   100°
• Встроенный регулируемый демпфер
• Широкая область применения</t>
    </r>
  </si>
  <si>
    <r>
      <rPr>
        <sz val="11"/>
        <color theme="1"/>
        <rFont val="Calibri"/>
        <family val="2"/>
      </rPr>
      <t>T-71</t>
    </r>
  </si>
  <si>
    <r>
      <rPr>
        <sz val="11"/>
        <color theme="1"/>
        <rFont val="Calibri"/>
        <family val="2"/>
      </rPr>
      <t>• Подходит для шкафов с другими корпусами сверху
• Надежно удерживает створку в любом положении от 45°
   до 100°
• Непосредственная 3-мерная регулировка фасада
• Установка с использованием зажимов
• Широкая область применения
• Встроенный регулируемый демпфер</t>
    </r>
  </si>
  <si>
    <r>
      <rPr>
        <sz val="11"/>
        <color theme="1"/>
        <rFont val="Calibri"/>
        <family val="2"/>
      </rPr>
      <t>T-75</t>
    </r>
  </si>
  <si>
    <r>
      <rPr>
        <sz val="11"/>
        <color theme="1"/>
        <rFont val="Calibri"/>
        <family val="2"/>
      </rPr>
      <t>• Подходит для шкафов с другими корпусами сверху
• Надежно удерживает створку в любом положении от 45° до
   100°
• Для тяжелых створок
• Встроенный регулируемый демпфер</t>
    </r>
  </si>
  <si>
    <r>
      <rPr>
        <sz val="11"/>
        <color theme="1"/>
        <rFont val="Calibri"/>
        <family val="2"/>
      </rPr>
      <t>T-76</t>
    </r>
  </si>
  <si>
    <r>
      <rPr>
        <sz val="11"/>
        <color theme="1"/>
        <rFont val="Calibri"/>
        <family val="2"/>
      </rPr>
      <t>• Подходит для шкафов с другими корпусами сверху
• Надежно удерживает створку в любом положении от 45° до
   100°
• Встроенный регулируемый демпфер
• Непосредственная 3-мерная регулировка фасада
• Установка с использованием зажимов
• Для тяжелых створок</t>
    </r>
  </si>
  <si>
    <r>
      <rPr>
        <sz val="11"/>
        <color theme="1"/>
        <rFont val="Calibri"/>
        <family val="2"/>
      </rPr>
      <t>T-57</t>
    </r>
  </si>
  <si>
    <r>
      <rPr>
        <sz val="11"/>
        <color theme="1"/>
        <rFont val="Calibri"/>
        <family val="2"/>
      </rPr>
      <t>• Подходит для шкафов с другими корпусами сверху
• Регулируемый угол открывания 75° или 90°
• Для средних створок</t>
    </r>
  </si>
  <si>
    <r>
      <rPr>
        <sz val="11"/>
        <color theme="1"/>
        <rFont val="Calibri"/>
        <family val="2"/>
      </rPr>
      <t>T-105</t>
    </r>
  </si>
  <si>
    <r>
      <rPr>
        <sz val="11"/>
        <color theme="1"/>
        <rFont val="Calibri"/>
        <family val="2"/>
      </rPr>
      <t>Коленчатый подъемник</t>
    </r>
  </si>
  <si>
    <r>
      <rPr>
        <sz val="11"/>
        <color theme="1"/>
        <rFont val="Calibri"/>
        <family val="2"/>
      </rPr>
      <t>• Подходит для шкафов с другими корпусами сверху
• Надежно удерживает створку в любом положении от 45°
   до 100°
• Широкая область применения
• Функция открывания с усиленным механизмом</t>
    </r>
  </si>
  <si>
    <r>
      <rPr>
        <sz val="11"/>
        <color theme="1"/>
        <rFont val="Calibri"/>
        <family val="2"/>
      </rPr>
      <t>L-80 Вертикальный подъемник</t>
    </r>
  </si>
  <si>
    <r>
      <rPr>
        <sz val="11"/>
        <color theme="1"/>
        <rFont val="Calibri"/>
        <family val="2"/>
      </rPr>
      <t>F-20 Складной подъемник</t>
    </r>
  </si>
  <si>
    <r>
      <rPr>
        <sz val="11"/>
        <color theme="1"/>
        <rFont val="Calibri"/>
        <family val="2"/>
      </rPr>
      <t>T-105 Коленчатый подъемник</t>
    </r>
  </si>
  <si>
    <r>
      <rPr>
        <sz val="11"/>
        <color theme="1"/>
        <rFont val="Calibri"/>
        <family val="2"/>
      </rPr>
      <t>T-57 Поворотный подъемник</t>
    </r>
  </si>
  <si>
    <r>
      <rPr>
        <sz val="11"/>
        <color theme="1"/>
        <rFont val="Calibri"/>
        <family val="2"/>
      </rPr>
      <t>T-76 Поворотный подъемник</t>
    </r>
  </si>
  <si>
    <r>
      <rPr>
        <sz val="11"/>
        <color theme="1"/>
        <rFont val="Calibri"/>
        <family val="2"/>
      </rPr>
      <t>T-75 Поворотный подъемник</t>
    </r>
  </si>
  <si>
    <r>
      <rPr>
        <sz val="11"/>
        <color theme="1"/>
        <rFont val="Calibri"/>
        <family val="2"/>
      </rPr>
      <t>T-71 Поворотный подъемник</t>
    </r>
  </si>
  <si>
    <r>
      <rPr>
        <sz val="11"/>
        <color theme="1"/>
        <rFont val="Calibri"/>
        <family val="2"/>
      </rPr>
      <t>T-70 Поворотный подъемник</t>
    </r>
  </si>
  <si>
    <r>
      <rPr>
        <sz val="11"/>
        <color theme="1"/>
        <rFont val="Calibri"/>
        <family val="2"/>
      </rPr>
      <t>T-65 Поворотный подъемник</t>
    </r>
  </si>
  <si>
    <r>
      <rPr>
        <sz val="11"/>
        <color theme="1"/>
        <rFont val="Calibri"/>
        <family val="2"/>
      </rPr>
      <t>S-35 Откидной подъемник</t>
    </r>
  </si>
  <si>
    <r>
      <rPr>
        <sz val="11"/>
        <color theme="1"/>
        <rFont val="Calibri"/>
        <family val="2"/>
      </rPr>
      <t>соединение с древесиной</t>
    </r>
  </si>
  <si>
    <r>
      <rPr>
        <sz val="11"/>
        <color theme="1"/>
        <rFont val="Calibri"/>
        <family val="2"/>
      </rPr>
      <t>алюминий 19 мм</t>
    </r>
  </si>
  <si>
    <r>
      <rPr>
        <sz val="11"/>
        <color theme="1"/>
        <rFont val="Calibri"/>
        <family val="2"/>
      </rPr>
      <t>Исполнение под</t>
    </r>
  </si>
  <si>
    <r>
      <rPr>
        <sz val="11"/>
        <color theme="1"/>
        <rFont val="Calibri"/>
        <family val="2"/>
      </rPr>
      <t>Наложение в мм</t>
    </r>
  </si>
  <si>
    <r>
      <rPr>
        <sz val="11"/>
        <color theme="1"/>
        <rFont val="Calibri"/>
        <family val="2"/>
      </rPr>
      <t>Створка</t>
    </r>
  </si>
  <si>
    <r>
      <rPr>
        <sz val="11"/>
        <color theme="1"/>
        <rFont val="Calibri"/>
        <family val="2"/>
      </rPr>
      <t>Ручка</t>
    </r>
  </si>
  <si>
    <r>
      <rPr>
        <sz val="11"/>
        <color theme="1"/>
        <rFont val="Calibri"/>
        <family val="2"/>
      </rPr>
      <t>Длина</t>
    </r>
  </si>
  <si>
    <r>
      <rPr>
        <sz val="11"/>
        <color theme="1"/>
        <rFont val="Calibri"/>
        <family val="2"/>
      </rPr>
      <t>Ширина</t>
    </r>
  </si>
  <si>
    <r>
      <rPr>
        <sz val="11"/>
        <color theme="1"/>
        <rFont val="Calibri"/>
        <family val="2"/>
      </rPr>
      <t>Высота</t>
    </r>
  </si>
  <si>
    <r>
      <rPr>
        <sz val="11"/>
        <color theme="1"/>
        <rFont val="Calibri"/>
        <family val="2"/>
      </rPr>
      <t>Толщина</t>
    </r>
  </si>
  <si>
    <r>
      <rPr>
        <sz val="11"/>
        <color theme="1"/>
        <rFont val="Calibri"/>
        <family val="2"/>
      </rPr>
      <t>Материал</t>
    </r>
  </si>
  <si>
    <r>
      <rPr>
        <sz val="11"/>
        <color theme="1"/>
        <rFont val="Calibri"/>
        <family val="2"/>
      </rPr>
      <t>Вес</t>
    </r>
  </si>
  <si>
    <r>
      <rPr>
        <sz val="11"/>
        <color theme="1"/>
        <rFont val="Calibri"/>
        <family val="2"/>
      </rPr>
      <t>Выбранная фурнитура не подходит к требуемым размерам.</t>
    </r>
  </si>
  <si>
    <r>
      <rPr>
        <sz val="11"/>
        <color theme="1"/>
        <rFont val="Calibri"/>
        <family val="2"/>
      </rPr>
      <t>Выбранная фурнитура не подходит к требуемому весу.</t>
    </r>
  </si>
  <si>
    <r>
      <rPr>
        <sz val="11"/>
        <color theme="1"/>
        <rFont val="Calibri"/>
        <family val="2"/>
      </rPr>
      <t>* Принятый удельный вес соответствует среднему значению. 
   Фактические значения могут отличаться. 
   Рекомендуем произвести пробную установку.</t>
    </r>
  </si>
  <si>
    <r>
      <rPr>
        <sz val="11"/>
        <color theme="1"/>
        <rFont val="Calibri"/>
        <family val="2"/>
      </rPr>
      <t>Решения с</t>
    </r>
  </si>
  <si>
    <r>
      <rPr>
        <sz val="11"/>
        <color theme="1"/>
        <rFont val="Calibri"/>
        <family val="2"/>
      </rPr>
      <t>Решение с</t>
    </r>
  </si>
  <si>
    <r>
      <rPr>
        <sz val="11"/>
        <color theme="1"/>
        <rFont val="Calibri"/>
        <family val="2"/>
      </rPr>
      <t>фурнитурой</t>
    </r>
  </si>
  <si>
    <r>
      <rPr>
        <sz val="11"/>
        <color theme="1"/>
        <rFont val="Calibri"/>
        <family val="2"/>
      </rPr>
      <t>Высота корпуса</t>
    </r>
  </si>
  <si>
    <r>
      <rPr>
        <sz val="11"/>
        <color theme="1"/>
        <rFont val="Calibri"/>
        <family val="2"/>
      </rPr>
      <t>Вес створки</t>
    </r>
  </si>
  <si>
    <r>
      <rPr>
        <sz val="11"/>
        <color theme="1"/>
        <rFont val="Calibri"/>
        <family val="2"/>
      </rPr>
      <t>Фурнитура</t>
    </r>
  </si>
  <si>
    <r>
      <rPr>
        <sz val="11"/>
        <color theme="1"/>
        <rFont val="Calibri"/>
        <family val="2"/>
      </rPr>
      <t>Требуется также</t>
    </r>
  </si>
  <si>
    <r>
      <rPr>
        <sz val="11"/>
        <color theme="1"/>
        <rFont val="Calibri"/>
        <family val="2"/>
      </rPr>
      <t>Рекомендация</t>
    </r>
  </si>
  <si>
    <r>
      <rPr>
        <sz val="11"/>
        <color theme="1"/>
        <rFont val="Calibri"/>
        <family val="2"/>
      </rPr>
      <t>← назад</t>
    </r>
  </si>
  <si>
    <r>
      <rPr>
        <sz val="11"/>
        <color theme="1"/>
        <rFont val="Calibri"/>
        <family val="2"/>
      </rPr>
      <t>Наименование</t>
    </r>
  </si>
  <si>
    <r>
      <rPr>
        <sz val="11"/>
        <color theme="1"/>
        <rFont val="Calibri"/>
        <family val="2"/>
      </rPr>
      <t>Артикул №</t>
    </r>
  </si>
  <si>
    <r>
      <rPr>
        <sz val="11"/>
        <color theme="1"/>
        <rFont val="Calibri"/>
        <family val="2"/>
      </rPr>
      <t>Сторона</t>
    </r>
  </si>
  <si>
    <r>
      <rPr>
        <sz val="11"/>
        <color theme="1"/>
        <rFont val="Calibri"/>
        <family val="2"/>
      </rPr>
      <t>Силовой механизм</t>
    </r>
  </si>
  <si>
    <r>
      <rPr>
        <sz val="11"/>
        <color theme="1"/>
        <rFont val="Calibri"/>
        <family val="2"/>
      </rPr>
      <t>Комплект (Л + П)</t>
    </r>
  </si>
  <si>
    <r>
      <rPr>
        <sz val="11"/>
        <color theme="1"/>
        <rFont val="Calibri"/>
        <family val="2"/>
      </rPr>
      <t>Правый</t>
    </r>
  </si>
  <si>
    <r>
      <rPr>
        <sz val="11"/>
        <color theme="1"/>
        <rFont val="Calibri"/>
        <family val="2"/>
      </rPr>
      <t>Направляющий рычаг, тип 1</t>
    </r>
  </si>
  <si>
    <r>
      <rPr>
        <sz val="11"/>
        <color theme="1"/>
        <rFont val="Calibri"/>
        <family val="2"/>
      </rPr>
      <t>Направляющий рычаг, тип 2</t>
    </r>
  </si>
  <si>
    <r>
      <rPr>
        <sz val="11"/>
        <color theme="1"/>
        <rFont val="Calibri"/>
        <family val="2"/>
      </rPr>
      <t>Направляющий рычаг, тип 3</t>
    </r>
  </si>
  <si>
    <r>
      <rPr>
        <sz val="11"/>
        <color theme="1"/>
        <rFont val="Calibri"/>
        <family val="2"/>
      </rPr>
      <t>Направляющий рычаг, тип 4</t>
    </r>
  </si>
  <si>
    <r>
      <rPr>
        <sz val="11"/>
        <color theme="1"/>
        <rFont val="Calibri"/>
        <family val="2"/>
      </rPr>
      <t>Направляющий рычаг, тип 5</t>
    </r>
  </si>
  <si>
    <r>
      <rPr>
        <sz val="11"/>
        <color theme="1"/>
        <rFont val="Calibri"/>
        <family val="2"/>
      </rPr>
      <t>Направляющий рычаг, тип 6</t>
    </r>
  </si>
  <si>
    <r>
      <rPr>
        <sz val="11"/>
        <color theme="1"/>
        <rFont val="Calibri"/>
        <family val="2"/>
      </rPr>
      <t>Направляющий рычаг, тип 7</t>
    </r>
  </si>
  <si>
    <r>
      <rPr>
        <sz val="11"/>
        <color theme="1"/>
        <rFont val="Calibri"/>
        <family val="2"/>
      </rPr>
      <t>Силовой механизм A</t>
    </r>
  </si>
  <si>
    <r>
      <rPr>
        <sz val="11"/>
        <color theme="1"/>
        <rFont val="Calibri"/>
        <family val="2"/>
      </rPr>
      <t>Силовой механизм B</t>
    </r>
  </si>
  <si>
    <r>
      <rPr>
        <sz val="11"/>
        <color theme="1"/>
        <rFont val="Calibri"/>
        <family val="2"/>
      </rPr>
      <t>Силовой механизм C</t>
    </r>
  </si>
  <si>
    <r>
      <rPr>
        <sz val="11"/>
        <color theme="1"/>
        <rFont val="Calibri"/>
        <family val="2"/>
      </rPr>
      <t>Силовой механизм D</t>
    </r>
  </si>
  <si>
    <r>
      <rPr>
        <sz val="11"/>
        <color theme="1"/>
        <rFont val="Calibri"/>
        <family val="2"/>
      </rPr>
      <t>Силовой механизм E</t>
    </r>
  </si>
  <si>
    <r>
      <rPr>
        <sz val="11"/>
        <color theme="1"/>
        <rFont val="Calibri"/>
        <family val="2"/>
      </rPr>
      <t>Пружина, стандарт</t>
    </r>
  </si>
  <si>
    <r>
      <rPr>
        <sz val="11"/>
        <color theme="1"/>
        <rFont val="Calibri"/>
        <family val="2"/>
      </rPr>
      <t>Пружина, черная</t>
    </r>
  </si>
  <si>
    <r>
      <rPr>
        <sz val="11"/>
        <color theme="1"/>
        <rFont val="Calibri"/>
        <family val="2"/>
      </rPr>
      <t>Пружина, белая</t>
    </r>
  </si>
  <si>
    <r>
      <rPr>
        <sz val="11"/>
        <color theme="1"/>
        <rFont val="Calibri"/>
        <family val="2"/>
      </rPr>
      <t>Пружина, оранжевая</t>
    </r>
  </si>
  <si>
    <r>
      <rPr>
        <sz val="11"/>
        <color theme="1"/>
        <rFont val="Calibri"/>
        <family val="2"/>
      </rPr>
      <t>Пружина, желтая, односторонняя</t>
    </r>
  </si>
  <si>
    <r>
      <rPr>
        <sz val="11"/>
        <color theme="1"/>
        <rFont val="Calibri"/>
        <family val="2"/>
      </rPr>
      <t>Пружина, желтая, двусторонняя</t>
    </r>
  </si>
  <si>
    <r>
      <rPr>
        <sz val="11"/>
        <color theme="1"/>
        <rFont val="Calibri"/>
        <family val="2"/>
      </rPr>
      <t>Пружина, черная, двусторонняя</t>
    </r>
  </si>
  <si>
    <r>
      <rPr>
        <sz val="11"/>
        <color theme="1"/>
        <rFont val="Calibri"/>
        <family val="2"/>
      </rPr>
      <t>регулируется</t>
    </r>
  </si>
  <si>
    <r>
      <rPr>
        <sz val="11"/>
        <color theme="1"/>
        <rFont val="Calibri"/>
        <family val="2"/>
      </rPr>
      <t>1 коленчатый подъемник</t>
    </r>
  </si>
  <si>
    <r>
      <rPr>
        <sz val="11"/>
        <color theme="1"/>
        <rFont val="Calibri"/>
        <family val="2"/>
      </rPr>
      <t>2 коленчатых подъемника</t>
    </r>
  </si>
  <si>
    <r>
      <rPr>
        <sz val="11"/>
        <color theme="1"/>
        <rFont val="Calibri"/>
        <family val="2"/>
      </rPr>
      <t>Адаптер под алюминиевые рамки к комплекту Kinvaro L-80</t>
    </r>
  </si>
  <si>
    <r>
      <rPr>
        <sz val="11"/>
        <color theme="1"/>
        <rFont val="Calibri"/>
        <family val="2"/>
      </rPr>
      <t>Адаптер под алюминиевые рамки к комплекту Kinvaro F-20</t>
    </r>
  </si>
  <si>
    <r>
      <rPr>
        <sz val="11"/>
        <color theme="1"/>
        <rFont val="Calibri"/>
        <family val="2"/>
      </rPr>
      <t>Адаптер под алюминиевые рамки к комплекту Kinvaro T-76</t>
    </r>
  </si>
  <si>
    <r>
      <rPr>
        <sz val="11"/>
        <color theme="1"/>
        <rFont val="Calibri"/>
        <family val="2"/>
      </rPr>
      <t>Адаптер под алюминиевые рамки к комплекту Kinvaro T-71</t>
    </r>
  </si>
  <si>
    <r>
      <rPr>
        <sz val="11"/>
        <color theme="1"/>
        <rFont val="Calibri"/>
        <family val="2"/>
      </rPr>
      <t>Адаптер под алюминиевые рамки к комплекту Kinvaro S-35</t>
    </r>
  </si>
  <si>
    <r>
      <rPr>
        <sz val="11"/>
        <color theme="1"/>
        <rFont val="Calibri"/>
        <family val="2"/>
      </rPr>
      <t>Коленчатый подъемник Kinvaro T-105, правый</t>
    </r>
  </si>
  <si>
    <r>
      <rPr>
        <sz val="11"/>
        <color theme="1"/>
        <rFont val="Calibri"/>
        <family val="2"/>
      </rPr>
      <t>ДСП</t>
    </r>
  </si>
  <si>
    <r>
      <rPr>
        <sz val="11"/>
        <color theme="1"/>
        <rFont val="Calibri"/>
        <family val="2"/>
      </rPr>
      <t>-----------------</t>
    </r>
  </si>
  <si>
    <r>
      <rPr>
        <sz val="11"/>
        <color theme="1"/>
        <rFont val="Calibri"/>
        <family val="2"/>
      </rPr>
      <t>Клен</t>
    </r>
  </si>
  <si>
    <r>
      <rPr>
        <sz val="11"/>
        <color theme="1"/>
        <rFont val="Calibri"/>
        <family val="2"/>
      </rPr>
      <t>Американская липа</t>
    </r>
  </si>
  <si>
    <r>
      <rPr>
        <sz val="11"/>
        <color theme="1"/>
        <rFont val="Calibri"/>
        <family val="2"/>
      </rPr>
      <t>Яблоня</t>
    </r>
  </si>
  <si>
    <r>
      <rPr>
        <sz val="11"/>
        <color theme="1"/>
        <rFont val="Calibri"/>
        <family val="2"/>
      </rPr>
      <t>Бальза</t>
    </r>
  </si>
  <si>
    <r>
      <rPr>
        <sz val="11"/>
        <color theme="1"/>
        <rFont val="Calibri"/>
        <family val="2"/>
      </rPr>
      <t>Бамбук</t>
    </r>
  </si>
  <si>
    <r>
      <rPr>
        <sz val="11"/>
        <color theme="1"/>
        <rFont val="Calibri"/>
        <family val="2"/>
      </rPr>
      <t>Береза</t>
    </r>
  </si>
  <si>
    <r>
      <rPr>
        <sz val="11"/>
        <color theme="1"/>
        <rFont val="Calibri"/>
        <family val="2"/>
      </rPr>
      <t>Груша</t>
    </r>
  </si>
  <si>
    <r>
      <rPr>
        <sz val="11"/>
        <color theme="1"/>
        <rFont val="Calibri"/>
        <family val="2"/>
      </rPr>
      <t>Бук</t>
    </r>
  </si>
  <si>
    <r>
      <rPr>
        <sz val="11"/>
        <color theme="1"/>
        <rFont val="Calibri"/>
        <family val="2"/>
      </rPr>
      <t>Дугласия</t>
    </r>
  </si>
  <si>
    <r>
      <rPr>
        <sz val="11"/>
        <color theme="1"/>
        <rFont val="Calibri"/>
        <family val="2"/>
      </rPr>
      <t>Эбеновое дерево</t>
    </r>
  </si>
  <si>
    <r>
      <rPr>
        <sz val="11"/>
        <color theme="1"/>
        <rFont val="Calibri"/>
        <family val="2"/>
      </rPr>
      <t>Ольха</t>
    </r>
  </si>
  <si>
    <r>
      <rPr>
        <sz val="11"/>
        <color theme="1"/>
        <rFont val="Calibri"/>
        <family val="2"/>
      </rPr>
      <t>Ясень</t>
    </r>
  </si>
  <si>
    <r>
      <rPr>
        <sz val="11"/>
        <color theme="1"/>
        <rFont val="Calibri"/>
        <family val="2"/>
      </rPr>
      <t>Осина</t>
    </r>
  </si>
  <si>
    <r>
      <rPr>
        <sz val="11"/>
        <color theme="1"/>
        <rFont val="Calibri"/>
        <family val="2"/>
      </rPr>
      <t>Африканское красное дерево</t>
    </r>
  </si>
  <si>
    <r>
      <rPr>
        <sz val="11"/>
        <color theme="1"/>
        <rFont val="Calibri"/>
        <family val="2"/>
      </rPr>
      <t>Каштан</t>
    </r>
  </si>
  <si>
    <r>
      <rPr>
        <sz val="11"/>
        <color theme="1"/>
        <rFont val="Calibri"/>
        <family val="2"/>
      </rPr>
      <t>Сосна</t>
    </r>
  </si>
  <si>
    <r>
      <rPr>
        <sz val="11"/>
        <color theme="1"/>
        <rFont val="Calibri"/>
        <family val="2"/>
      </rPr>
      <t>Вишня</t>
    </r>
  </si>
  <si>
    <r>
      <rPr>
        <sz val="11"/>
        <color theme="1"/>
        <rFont val="Calibri"/>
        <family val="2"/>
      </rPr>
      <t>Лиственница</t>
    </r>
  </si>
  <si>
    <r>
      <rPr>
        <sz val="11"/>
        <color theme="1"/>
        <rFont val="Calibri"/>
        <family val="2"/>
      </rPr>
      <t>Секвойя</t>
    </r>
  </si>
  <si>
    <r>
      <rPr>
        <sz val="11"/>
        <color theme="1"/>
        <rFont val="Calibri"/>
        <family val="2"/>
      </rPr>
      <t>Тополь</t>
    </r>
  </si>
  <si>
    <r>
      <rPr>
        <sz val="11"/>
        <color theme="1"/>
        <rFont val="Calibri"/>
        <family val="2"/>
      </rPr>
      <t>Канадский тополь</t>
    </r>
  </si>
  <si>
    <r>
      <rPr>
        <sz val="11"/>
        <color theme="1"/>
        <rFont val="Calibri"/>
        <family val="2"/>
      </rPr>
      <t>Платан</t>
    </r>
  </si>
  <si>
    <r>
      <rPr>
        <sz val="11"/>
        <color theme="1"/>
        <rFont val="Calibri"/>
        <family val="2"/>
      </rPr>
      <t>Рамин</t>
    </r>
  </si>
  <si>
    <r>
      <rPr>
        <sz val="11"/>
        <color theme="1"/>
        <rFont val="Calibri"/>
        <family val="2"/>
      </rPr>
      <t>Белая акация</t>
    </r>
  </si>
  <si>
    <r>
      <rPr>
        <sz val="11"/>
        <color theme="1"/>
        <rFont val="Calibri"/>
        <family val="2"/>
      </rPr>
      <t>Пихта</t>
    </r>
  </si>
  <si>
    <r>
      <rPr>
        <sz val="11"/>
        <color theme="1"/>
        <rFont val="Calibri"/>
        <family val="2"/>
      </rPr>
      <t>Вяз</t>
    </r>
  </si>
  <si>
    <r>
      <rPr>
        <sz val="11"/>
        <color theme="1"/>
        <rFont val="Calibri"/>
        <family val="2"/>
      </rPr>
      <t>Орех</t>
    </r>
  </si>
  <si>
    <r>
      <rPr>
        <sz val="11"/>
        <color theme="1"/>
        <rFont val="Calibri"/>
        <family val="2"/>
      </rPr>
      <t>Ива</t>
    </r>
  </si>
  <si>
    <r>
      <rPr>
        <sz val="11"/>
        <color theme="1"/>
        <rFont val="Calibri"/>
        <family val="2"/>
      </rPr>
      <t>Кедр</t>
    </r>
  </si>
  <si>
    <r>
      <rPr>
        <sz val="11"/>
        <color theme="1"/>
        <rFont val="Calibri"/>
        <family val="2"/>
      </rPr>
      <t>Кипарис</t>
    </r>
  </si>
  <si>
    <r>
      <rPr>
        <sz val="11"/>
        <color theme="1"/>
        <rFont val="Calibri"/>
        <family val="2"/>
      </rPr>
      <t>Монтажная плита</t>
    </r>
  </si>
  <si>
    <r>
      <rPr>
        <sz val="11"/>
        <color theme="1"/>
        <rFont val="Calibri"/>
        <family val="2"/>
      </rPr>
      <t>Шарнир для алюминиевой рамки</t>
    </r>
  </si>
  <si>
    <r>
      <rPr>
        <sz val="11"/>
        <color theme="1"/>
        <rFont val="Calibri"/>
        <family val="2"/>
      </rPr>
      <t>Возможна промышленная упаковка</t>
    </r>
  </si>
  <si>
    <t>Pу́сский язы́к</t>
  </si>
  <si>
    <r>
      <rPr>
        <u/>
        <sz val="11"/>
        <color theme="1"/>
        <rFont val="Calibri"/>
        <family val="2"/>
      </rPr>
      <t>http://www.grass.at/fileadmin/downloads/DEU/Bedienungsanleitungen/Kinvaro/Kinvaro_F-20_Einbauanleitung_2_Generation.pdf</t>
    </r>
  </si>
  <si>
    <r>
      <rPr>
        <u/>
        <sz val="11"/>
        <color theme="1"/>
        <rFont val="Calibri"/>
        <family val="2"/>
      </rPr>
      <t>http://www.grass.at/fileadmin/downloads/DEU/Bedienungsanleitungen/Kinvaro/Kinvaro_L-80_Einbauanleitung_2._Generation.pdf</t>
    </r>
  </si>
  <si>
    <r>
      <rPr>
        <u/>
        <sz val="11"/>
        <color theme="1"/>
        <rFont val="Calibri"/>
        <family val="2"/>
      </rPr>
      <t>http://www.grass.at/fileadmin/downloads/DEU/Bedienungsanleitungen/Kinvaro/Kinvaro_S-35_Einbauanleitung_2_Generation.pdf</t>
    </r>
  </si>
  <si>
    <r>
      <rPr>
        <u/>
        <sz val="11"/>
        <color theme="1"/>
        <rFont val="Calibri"/>
        <family val="2"/>
      </rPr>
      <t>http://www.grass.at</t>
    </r>
  </si>
  <si>
    <r>
      <rPr>
        <sz val="11"/>
        <color theme="1"/>
        <rFont val="Calibri"/>
        <family val="2"/>
      </rPr>
      <t>Мы рекомендуем:</t>
    </r>
  </si>
  <si>
    <r>
      <rPr>
        <sz val="11"/>
        <color theme="1"/>
        <rFont val="Calibri"/>
        <family val="2"/>
      </rPr>
      <t>Шарнир</t>
    </r>
  </si>
  <si>
    <r>
      <rPr>
        <sz val="11"/>
        <color theme="1"/>
        <rFont val="Calibri"/>
        <family val="2"/>
      </rPr>
      <t>и</t>
    </r>
  </si>
  <si>
    <r>
      <rPr>
        <sz val="11"/>
        <color theme="1"/>
        <rFont val="Calibri"/>
        <family val="2"/>
      </rPr>
      <t>Рассчитанный вес:</t>
    </r>
  </si>
  <si>
    <r>
      <rPr>
        <sz val="11"/>
        <color theme="1"/>
        <rFont val="Calibri"/>
        <family val="2"/>
      </rPr>
      <t>Ручной ввод:</t>
    </r>
  </si>
  <si>
    <r>
      <rPr>
        <sz val="11"/>
        <color theme="1"/>
        <rFont val="Calibri"/>
        <family val="2"/>
      </rPr>
      <t>Всего:</t>
    </r>
  </si>
  <si>
    <r>
      <rPr>
        <sz val="11"/>
        <color theme="1"/>
        <rFont val="Calibri"/>
        <family val="2"/>
      </rPr>
      <t>Афромозия</t>
    </r>
  </si>
  <si>
    <r>
      <rPr>
        <sz val="11"/>
        <color theme="1"/>
        <rFont val="Calibri"/>
        <family val="2"/>
      </rPr>
      <t>Ель</t>
    </r>
  </si>
  <si>
    <r>
      <rPr>
        <sz val="11"/>
        <color theme="1"/>
        <rFont val="Calibri"/>
        <family val="2"/>
      </rPr>
      <t>Тсуга</t>
    </r>
  </si>
  <si>
    <r>
      <rPr>
        <sz val="11"/>
        <color theme="1"/>
        <rFont val="Calibri"/>
        <family val="2"/>
      </rPr>
      <t>Ироко</t>
    </r>
  </si>
  <si>
    <r>
      <rPr>
        <sz val="11"/>
        <color theme="1"/>
        <rFont val="Calibri"/>
        <family val="2"/>
      </rPr>
      <t>Красное дерево</t>
    </r>
  </si>
  <si>
    <r>
      <rPr>
        <sz val="11"/>
        <color theme="1"/>
        <rFont val="Calibri"/>
        <family val="2"/>
      </rPr>
      <t>Кария-пекан</t>
    </r>
  </si>
  <si>
    <r>
      <rPr>
        <sz val="11"/>
        <color theme="1"/>
        <rFont val="Calibri"/>
        <family val="2"/>
      </rPr>
      <t>Бакаут</t>
    </r>
  </si>
  <si>
    <r>
      <rPr>
        <sz val="11"/>
        <color theme="1"/>
        <rFont val="Calibri"/>
        <family val="2"/>
      </rPr>
      <t>Тик</t>
    </r>
  </si>
  <si>
    <t>• Abre-se em paralelo ao armário
• Adequado para armários com aparelhos e armários com coroa, moldura ou luzes
• Movimento extremamente leve
• Alta estabilidade
• Amortecedor integrado e regulável</t>
  </si>
  <si>
    <t>•  Tillåter påbyggnad med överskåp
•  Fronten hålls säkert på plats i varje vinkel från 45° till 110°
•  3-D direktinställning av fronten 58
•  Snäpp montering av fronten
•  Brett användningsområde
•  Integrerad justerbar stängningsdämpning</t>
  </si>
  <si>
    <t>L-80 Parallell Lyftbeslag</t>
  </si>
  <si>
    <t>* Den beräknade specifika vikten motsvarar den genomsnittliga. 
   Faktiska resultat kan variera. 
   Vi rekommenderar en provmontering.</t>
  </si>
  <si>
    <t>Bezeichnung</t>
  </si>
  <si>
    <t>Zuordnung</t>
  </si>
  <si>
    <t>Neue Sprache hinzufügen:</t>
  </si>
  <si>
    <t>z(Ramin)</t>
  </si>
  <si>
    <t>z(Afrormosia)</t>
  </si>
  <si>
    <t>z(Balsa)</t>
  </si>
  <si>
    <t>z(Douglasie)</t>
  </si>
  <si>
    <t>z(Gabun)</t>
  </si>
  <si>
    <t>z(Hemlock)</t>
  </si>
  <si>
    <t>z(Iroko)</t>
  </si>
  <si>
    <t>z(Pekannussbaum)</t>
  </si>
  <si>
    <t>z(Platane)</t>
  </si>
  <si>
    <t>z(Pockholz)</t>
  </si>
  <si>
    <t>z(Robinie)</t>
  </si>
  <si>
    <t>z(Fichte / Kiefer)</t>
  </si>
  <si>
    <t>z(Glas)</t>
  </si>
  <si>
    <t>z(MDF-Werkstoff)</t>
  </si>
  <si>
    <t>z(Spanplatte)</t>
  </si>
  <si>
    <t>z(Ahorn)</t>
  </si>
  <si>
    <t>z(Amerikanische Linde)</t>
  </si>
  <si>
    <t>z(Apfel)</t>
  </si>
  <si>
    <t>z(Bambus)</t>
  </si>
  <si>
    <t>z(Birke)</t>
  </si>
  <si>
    <t>z(Birne)</t>
  </si>
  <si>
    <t>z(Buche)</t>
  </si>
  <si>
    <t>z(Ebenholz)</t>
  </si>
  <si>
    <t>z(Erle)</t>
  </si>
  <si>
    <t>z(Esche)</t>
  </si>
  <si>
    <t>z(Espe)</t>
  </si>
  <si>
    <t>z(Fichte)</t>
  </si>
  <si>
    <t>z(Kastanie)</t>
  </si>
  <si>
    <t>z(Kiefer)</t>
  </si>
  <si>
    <t>z(Kirsche)</t>
  </si>
  <si>
    <t>z(Lärche)</t>
  </si>
  <si>
    <t>z(Mahagonie)</t>
  </si>
  <si>
    <t>z(Mammutbaum)</t>
  </si>
  <si>
    <t>z(Pappel)</t>
  </si>
  <si>
    <t>z(Pappel, kanadisch)</t>
  </si>
  <si>
    <t>z(Tanne)</t>
  </si>
  <si>
    <t>z(Teak)</t>
  </si>
  <si>
    <t>z(Ulme)</t>
  </si>
  <si>
    <t>z(Walnuss)</t>
  </si>
  <si>
    <t>z(Weide)</t>
  </si>
  <si>
    <t>z(Zeder)</t>
  </si>
  <si>
    <t>z(Zypresse)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</si>
  <si>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</si>
  <si>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</si>
  <si>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</si>
  <si>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</si>
  <si>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</si>
  <si>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</si>
  <si>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</si>
  <si>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</si>
  <si>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</si>
  <si>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</si>
  <si>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</si>
  <si>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</si>
  <si>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</si>
  <si>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</si>
  <si>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</si>
  <si>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</si>
  <si>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</si>
  <si>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</si>
  <si>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</si>
  <si>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</si>
  <si>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z(leer)</t>
  </si>
  <si>
    <t>Материал МДФ</t>
  </si>
  <si>
    <t>ДСП</t>
  </si>
  <si>
    <t>Ель/сосна</t>
  </si>
  <si>
    <t>Стекло</t>
  </si>
  <si>
    <t>2. Die deutschen z(xxx) Begriffe durch die der neuen Sprache ersetzen</t>
  </si>
  <si>
    <r>
      <t xml:space="preserve">4. Auf </t>
    </r>
    <r>
      <rPr>
        <b/>
        <sz val="11"/>
        <color theme="1"/>
        <rFont val="Calibri"/>
        <family val="2"/>
        <scheme val="minor"/>
      </rPr>
      <t>Sortieren und Filtern / von A bis Z sortieren</t>
    </r>
    <r>
      <rPr>
        <sz val="11"/>
        <color theme="1"/>
        <rFont val="Calibri"/>
        <family val="2"/>
        <scheme val="minor"/>
      </rPr>
      <t xml:space="preserve"> klicken</t>
    </r>
  </si>
  <si>
    <t>durch die Markierung z(</t>
  </si>
  <si>
    <t>wird der nicht übersetzte Begriff</t>
  </si>
  <si>
    <t>am Ende der Liste einsortiert</t>
  </si>
  <si>
    <t>Alle Begriffe, die mit z(</t>
  </si>
  <si>
    <t>nicht dargestellt</t>
  </si>
  <si>
    <t>beginnen werden in der Materialliste</t>
  </si>
  <si>
    <r>
      <t xml:space="preserve">3. Den Text </t>
    </r>
    <r>
      <rPr>
        <b/>
        <sz val="11"/>
        <color rgb="FFFF0000"/>
        <rFont val="Calibri"/>
        <family val="2"/>
        <scheme val="minor"/>
      </rPr>
      <t>und</t>
    </r>
    <r>
      <rPr>
        <sz val="11"/>
        <color theme="1"/>
        <rFont val="Calibri"/>
        <family val="2"/>
        <scheme val="minor"/>
      </rPr>
      <t xml:space="preserve"> den Faktor markieren</t>
    </r>
  </si>
  <si>
    <t>5. Liste ist sortiert</t>
  </si>
  <si>
    <t>Kappe</t>
  </si>
  <si>
    <t>weiß</t>
  </si>
  <si>
    <t>grau</t>
  </si>
  <si>
    <t>Abdeckkappe</t>
  </si>
  <si>
    <t>cover cap</t>
  </si>
  <si>
    <t>white</t>
  </si>
  <si>
    <t>grey</t>
  </si>
  <si>
    <r>
      <t xml:space="preserve">1. In Tabelle </t>
    </r>
    <r>
      <rPr>
        <b/>
        <sz val="11"/>
        <color theme="1"/>
        <rFont val="Calibri"/>
        <family val="2"/>
        <scheme val="minor"/>
      </rPr>
      <t>Sprache</t>
    </r>
    <r>
      <rPr>
        <sz val="11"/>
        <color theme="1"/>
        <rFont val="Calibri"/>
        <family val="2"/>
        <scheme val="minor"/>
      </rPr>
      <t xml:space="preserve"> die neue Sprache samt Übersetzungen eintragen</t>
    </r>
  </si>
  <si>
    <t>Ist keine Übersetzung möglich, bitte den deutschen z(xxx) Begriff stehen lassen.</t>
  </si>
  <si>
    <t>Kappe Weiß</t>
  </si>
  <si>
    <t>bnr p1</t>
  </si>
  <si>
    <t>bnr p2</t>
  </si>
  <si>
    <t>bnr p3</t>
  </si>
  <si>
    <t>bnr p4</t>
  </si>
  <si>
    <t>auto</t>
  </si>
  <si>
    <t>bnr full</t>
  </si>
  <si>
    <t>F152147837201</t>
  </si>
  <si>
    <t>F152147838201</t>
  </si>
  <si>
    <t>F152147841201</t>
  </si>
  <si>
    <t>F152147675201</t>
  </si>
  <si>
    <t>F152147842201</t>
  </si>
  <si>
    <t>F152147840201</t>
  </si>
  <si>
    <t>F152147843201</t>
  </si>
  <si>
    <t>F152147844201</t>
  </si>
  <si>
    <t>F152147846201</t>
  </si>
  <si>
    <t>F152147787201</t>
  </si>
  <si>
    <t>F152147847201</t>
  </si>
  <si>
    <t>F152147781201</t>
  </si>
  <si>
    <t>F152147828201</t>
  </si>
  <si>
    <t>F152147824201</t>
  </si>
  <si>
    <t>F152147829201</t>
  </si>
  <si>
    <t>F152147833201</t>
  </si>
  <si>
    <t>F152147825201</t>
  </si>
  <si>
    <t>F152147830201</t>
  </si>
  <si>
    <t>F152147834201</t>
  </si>
  <si>
    <t>F152147826201</t>
  </si>
  <si>
    <t>F152147831201</t>
  </si>
  <si>
    <t>F152147835201</t>
  </si>
  <si>
    <t>F152147827201</t>
  </si>
  <si>
    <t>F152147715201</t>
  </si>
  <si>
    <t>F152147836201</t>
  </si>
  <si>
    <t>F151147817201</t>
  </si>
  <si>
    <t>F151147700201</t>
  </si>
  <si>
    <t>F151147813201</t>
  </si>
  <si>
    <t>F151147814201</t>
  </si>
  <si>
    <t>F151147815201</t>
  </si>
  <si>
    <t>F151147816201</t>
  </si>
  <si>
    <t>F151147811201</t>
  </si>
  <si>
    <t>F151147693201</t>
  </si>
  <si>
    <t>F151147807201</t>
  </si>
  <si>
    <t>F151147808201</t>
  </si>
  <si>
    <t>F151147809201</t>
  </si>
  <si>
    <t>F151147810201</t>
  </si>
  <si>
    <t>F151147797201</t>
  </si>
  <si>
    <t>F151147798201</t>
  </si>
  <si>
    <t>F151147799201</t>
  </si>
  <si>
    <t>F151147800201</t>
  </si>
  <si>
    <t>F151147801201</t>
  </si>
  <si>
    <t>Industrieverpackung</t>
  </si>
  <si>
    <t>More detail for the bulk package</t>
  </si>
  <si>
    <t>Mehr Details zur Industrieverpackung</t>
  </si>
  <si>
    <t>Set Nr</t>
  </si>
  <si>
    <t>TeilNr</t>
  </si>
  <si>
    <t>VPE</t>
  </si>
  <si>
    <t>Teil Kommentar</t>
  </si>
  <si>
    <t>F151145003207</t>
  </si>
  <si>
    <t>Klappenliftbeschlag Kinvaro T-65, rechts ohne und links mit Dämpfung, jeweils Feder schwarz, vernickelt, Euro-Senkoch</t>
  </si>
  <si>
    <t xml:space="preserve"> Abdeckkappe Kinvaro T-65, grau ähnlich RAL 7045, rechts und links</t>
  </si>
  <si>
    <t>F151145004207</t>
  </si>
  <si>
    <t xml:space="preserve"> Klappenliftbeschlag Kinvaro T-65, rechts ohne und links mit Dämpfung, jeweils Feder schwarz, vernickelt, Euro-Senkoch, für Alurahmen Aufschlag 13mm</t>
  </si>
  <si>
    <t>F151145005207</t>
  </si>
  <si>
    <t xml:space="preserve"> Klappenliftbeschlag Kinvaro T-65, rechts ohne und links mit Dämpfung, jeweils Feder schwarz, vernickelt, Euro-Senkoch, für Alurahmen Aufschlag 14mm</t>
  </si>
  <si>
    <t>F151145182207</t>
  </si>
  <si>
    <t xml:space="preserve"> Klappenliftbeschlag Kinvaro T-65, rechts ohne und links mit Dämpfung, jeweils Feder schwarz, vernickelt, Euro-Senkoch, für Alurahmen Aufschlag 16mm</t>
  </si>
  <si>
    <t>F151146794207</t>
  </si>
  <si>
    <t xml:space="preserve"> Klappenliftbeschlag Kinvaro T-65, rechts ohne und links mit Dämpfung, jeweils Feder schwarz, vernickelt, Euro-Senkoch, für Alurahmen Aufschlag 17mm</t>
  </si>
  <si>
    <t>F151145007207</t>
  </si>
  <si>
    <t xml:space="preserve"> Klappenliftbeschlag Kinvaro T-70, rechts ohne und links mit Dämpfung, jeweils Feder orange, vernickelt, Euro-Senkloch</t>
  </si>
  <si>
    <t>F151147641207</t>
  </si>
  <si>
    <t xml:space="preserve"> Abdeckkappe Kinvaro T-70, grau ähnlich RAL 7045, rechts und links</t>
  </si>
  <si>
    <t>F151145008207</t>
  </si>
  <si>
    <t xml:space="preserve"> Klappenliftbeschlag Kinvaro T-70, rechts ohne und links mit Dämpfung, jeweils Feder orange, vernickelt, Euro-Senkloch, für Alurahmen Aufschlag 13mm</t>
  </si>
  <si>
    <t>F151145009207</t>
  </si>
  <si>
    <t xml:space="preserve"> Klappenliftbeschlag Kinvaro T-70, rechts ohne und links mit Dämpfung, jeweils Feder orange, vernickelt, Euro-Senkloch, für Alurahmen Aufschlag 14mm</t>
  </si>
  <si>
    <t>F151145183207</t>
  </si>
  <si>
    <t xml:space="preserve"> Klappenliftbeschlag Kinvaro T-70, rechts ohne und links mit Dämpfung, jeweils Feder orange, vernickelt, Euro-Senkloch, für Alurahmen Aufschlag 16mm</t>
  </si>
  <si>
    <t>F151146745207</t>
  </si>
  <si>
    <t xml:space="preserve"> Klappenliftbeschlag Kinvaro T-70, rechts ohne und links mit Dämpfung, jeweils Feder orange, vernickelt, Euro-Senkloch, für Alurahmen Aufschlag 17mm</t>
  </si>
  <si>
    <t>F151000007216</t>
  </si>
  <si>
    <t xml:space="preserve"> Stützklappenhalter Kinvaro T-105 links, einstellbare Feder, vernickelt ohne Anschraubwinkel</t>
  </si>
  <si>
    <t>F151000008216</t>
  </si>
  <si>
    <t xml:space="preserve"> Stützklappenhalter Kinvaro T-105 rechts, einstellbare Feder, vernickelt ohne Anschraubwinkel</t>
  </si>
  <si>
    <t>F151000009116</t>
  </si>
  <si>
    <t xml:space="preserve"> Anschraubwinkel Kinvaro T-105 vernickelt</t>
  </si>
  <si>
    <t>Wir empfehlen: TIOMOS 110° Scharnier und 1D° Montageplatte</t>
  </si>
  <si>
    <t>F152147451207</t>
  </si>
  <si>
    <t xml:space="preserve"> Klappenliftbeschlag Kinvaro L-80, Typ 4, Kraftspeicher A, mit Dämpfung, vernickelt, links, G*</t>
  </si>
  <si>
    <t>F152147452207</t>
  </si>
  <si>
    <t xml:space="preserve"> Klappenliftbeschlag Kinvaro L-80, Typ 4, Kraftspeicher A, mit Dämpfung, vernickelt, rechts, G*</t>
  </si>
  <si>
    <t>F152145274207</t>
  </si>
  <si>
    <t xml:space="preserve"> Abdeckkappe Kinvaro L-80, grau ähnlich RAL 7045, links, G*</t>
  </si>
  <si>
    <t>F152145275207</t>
  </si>
  <si>
    <t xml:space="preserve"> Abdeckkappe Kinvaro L-80, grau ähnlich RAL 7045, rechts, G*</t>
  </si>
  <si>
    <t>F152146243107</t>
  </si>
  <si>
    <t xml:space="preserve"> Quertraverse für Kinvaro S-35/L-80, Schrankbreite 600, silberfarbig eloxiert</t>
  </si>
  <si>
    <t>F152146241107</t>
  </si>
  <si>
    <t xml:space="preserve"> Quertraverse für Kinvaro S-35/L-80, Schrankbreite 800, silberfarbig eloxiert</t>
  </si>
  <si>
    <t>F152145031207</t>
  </si>
  <si>
    <t xml:space="preserve"> Quertraverse für Kinvaro S-35/L-80, Schrankbreite 900, silberfarbig eloxiert</t>
  </si>
  <si>
    <t>F152146240107</t>
  </si>
  <si>
    <t xml:space="preserve"> Quertraverse für Kinvaro S-35/L-80, Schrankbreite 1000, silberfarbig eloxiert</t>
  </si>
  <si>
    <t>F152145093107</t>
  </si>
  <si>
    <t xml:space="preserve"> Quertraverse für Kinvaro S-35/L-80, Schrankbreite 1200, silberfarbig eloxiert</t>
  </si>
  <si>
    <t>F151145157111</t>
  </si>
  <si>
    <t xml:space="preserve"> Montage / Anschraubplatte für Kinvaro S-35/L-80/T-71/T-76 vernickelt, 20 Stück/Beutel</t>
  </si>
  <si>
    <t>F152147513233</t>
  </si>
  <si>
    <t xml:space="preserve"> Montage / Anschraubplatte für Kinvaro S-35/L-80/T-71/T-76 vernickelt, 200 Stück/Karton</t>
  </si>
  <si>
    <t>F152147461207</t>
  </si>
  <si>
    <t xml:space="preserve"> Klappenliftbeschlag Kinvaro L-80, Typ 4, Kraftspeicher B, mit Dämpfung, vernickelt, links, G*</t>
  </si>
  <si>
    <t>F152147462207</t>
  </si>
  <si>
    <t xml:space="preserve"> Klappenliftbeschlag Kinvaro L-80, Typ 4, Kraftspeicher B, mit Dämpfung, vernickelt, rechts, G*</t>
  </si>
  <si>
    <t>Nr a</t>
  </si>
  <si>
    <t>Nr b</t>
  </si>
  <si>
    <t>Nr c</t>
  </si>
  <si>
    <t>Teile NR</t>
  </si>
  <si>
    <t>Kommentar</t>
  </si>
  <si>
    <t>Bulk package</t>
  </si>
  <si>
    <t>Teilenummer</t>
  </si>
  <si>
    <t>Verpackungseinheit</t>
  </si>
  <si>
    <t>Sprachdaten für Industrieverpackung</t>
  </si>
  <si>
    <t>铝框门铰链</t>
  </si>
  <si>
    <t>可提供工业包装</t>
  </si>
  <si>
    <t>铰杯装饰盖</t>
  </si>
  <si>
    <t>白色的</t>
  </si>
  <si>
    <t>灰色的</t>
  </si>
  <si>
    <t>industriförpackning (ohne erhältlich...)</t>
  </si>
  <si>
    <t>Täckkåpa oder Täckbricka</t>
  </si>
  <si>
    <t>vit</t>
  </si>
  <si>
    <t>grå</t>
  </si>
  <si>
    <t>Piastrina di montaggio</t>
  </si>
  <si>
    <t>Cerniera per telai in alluminio</t>
  </si>
  <si>
    <t>Confezioni industriali (ohne erhältlich...)</t>
  </si>
  <si>
    <t>Coperchio</t>
  </si>
  <si>
    <t>grigio</t>
  </si>
  <si>
    <t xml:space="preserve">bianco </t>
  </si>
  <si>
    <t>charnière cadre aluminium</t>
  </si>
  <si>
    <t>cache</t>
  </si>
  <si>
    <t>blanc</t>
  </si>
  <si>
    <t>gris</t>
  </si>
  <si>
    <t>Tapa</t>
  </si>
  <si>
    <t>blanco</t>
  </si>
  <si>
    <t>beyaz</t>
  </si>
  <si>
    <t>gri</t>
  </si>
  <si>
    <t>За глуш ки</t>
  </si>
  <si>
    <t>бе́лый</t>
  </si>
  <si>
    <t>се́рый</t>
  </si>
  <si>
    <t>Griechisch</t>
  </si>
  <si>
    <t>Greece</t>
  </si>
  <si>
    <t>гре́ческий</t>
  </si>
  <si>
    <t>Grec</t>
  </si>
  <si>
    <t>Griego</t>
  </si>
  <si>
    <t>Greco</t>
  </si>
  <si>
    <t xml:space="preserve">  希腊语</t>
  </si>
  <si>
    <t>Grego</t>
  </si>
  <si>
    <t>Αγγλικά</t>
  </si>
  <si>
    <t>Σουηδικά</t>
  </si>
  <si>
    <t>Ιταλικά</t>
  </si>
  <si>
    <t>Γαλλικά</t>
  </si>
  <si>
    <t>Ισπανικά</t>
  </si>
  <si>
    <t>Κουμπάσο</t>
  </si>
  <si>
    <r>
      <rPr>
        <u/>
        <sz val="11"/>
        <color rgb="FF0000FF"/>
        <rFont val="Calibri"/>
        <family val="2"/>
      </rPr>
      <t>http://www.grass.at/fileadmin/downloads/DEU/Bedienungsanleitungen/Kinvaro/Kinvaro_F-20_Einbauanleitung_2_Generation.pdf</t>
    </r>
  </si>
  <si>
    <t>• Για ντουλάπια με διαιρούμενα πορτάκια
• Πολύ ομαλή κίνηση
• Κατάλληλο για πορτάκια χωρίς πόμολο
• Ενσωματωμένο ρυθμιζόμενο αμορτισέρ απόσβεσης</t>
  </si>
  <si>
    <t>Κουμπάσο παράλληλης κίνησης</t>
  </si>
  <si>
    <r>
      <rPr>
        <u/>
        <sz val="11"/>
        <color rgb="FF0000FF"/>
        <rFont val="Calibri"/>
        <family val="2"/>
      </rPr>
      <t>http://www.grass.at/fileadmin/downloads/DEU/Bedienungsanleitungen/Kinvaro/Kinvaro_L-80_Einbauanleitung_2._Generation.pdf</t>
    </r>
  </si>
  <si>
    <t>• Ανοίγει το πορτάκι παράλληλα με το ντουλάπι
• Κατάλληλο και για ντουλάπια με κορνίζα ή ενσωματομένο φωτισμό
• Εξαιρετικά ομαλή κίνηση
• Πολύ δυνατό
• Ενσωματομένο ρυθμιζόμενο αμορτισέρ απόσβεσης</t>
  </si>
  <si>
    <r>
      <rPr>
        <u/>
        <sz val="11"/>
        <color rgb="FF0000FF"/>
        <rFont val="Calibri"/>
        <family val="2"/>
      </rPr>
      <t>http://www.grass.at/fileadmin/downloads/DEU/Bedienungsanleitungen/Kinvaro/Kinvaro_S-35_Einbauanleitung_2_Generation.pdf</t>
    </r>
  </si>
  <si>
    <t>• Ανοίγει το πορτάκι επάνω από το ντουλάπι
• Κατάλληλο και για ντουλάπια με κορνίζα ή ενσωματομένο φωτισμό
• Εξαιρετικά ομαλή κίνηση
• Πολύ δυνατό
• Ενσωματομένο ρυθμιζόμενο αμορτισέρ απόσβεσης</t>
  </si>
  <si>
    <r>
      <rPr>
        <u/>
        <sz val="11"/>
        <color rgb="FF0000FF"/>
        <rFont val="Calibri"/>
        <family val="2"/>
      </rPr>
      <t>http://www.grass.at</t>
    </r>
  </si>
  <si>
    <t>Τ-65</t>
  </si>
  <si>
    <t>• Επιτρέπει την τοποθέτηση επιπλέον ντουλαπιού από  πάνω
• Κρατάει το πορτάκι με ασφάλεια σε οποιαδήποτε γωνία μεταξύ 45° και 100° 
• Για ελάφριά έως μεσαίου βάρους πορτάκια
• Ενσωματομένο ρυθμιζόμενο αμορτισέρ απόσβεσης</t>
  </si>
  <si>
    <t>Τ-70</t>
  </si>
  <si>
    <t>• Επιτρέπει την τοποθέτηση επιπλέον ντουλαπιού από  πάνω
• Κρατάει το πορτάκι με ασφάλεια σε οποιαδήποτε γωνία μεταξύ 45° και 110° 
• Πολλές δυνατότητες εφαρμογής
• Ενσωματομένο ρυθμιζόμενο αμορτισέρ απόσβεσης</t>
  </si>
  <si>
    <t>• Επιτρέπει την τοποθέτηση επιπλέον ντουλαπιού από  πάνω
•  Κρατάει το πορτάκι με ασφάλεια σε οποιαδήποτε γωνία μεταξύ 45° και 110° 
• Το πορτάκι ρυθμίζεται 3-διάστατα 
• Κουμπωτή τοποθέτηση
• Πολλές δυνατότητες εφαρμογής
• Ενσωματομένο ρυθμιζόμενο αμορτισέρ απόσβεσης</t>
  </si>
  <si>
    <t>Τ-75</t>
  </si>
  <si>
    <t>• Επιτρέπει την τοποθέτηση επιπλέον ντουλαπιού από  πάνω
• Κρατάει το πορτάκι με ασφάλεια σε οποιαδήποτε γωνία μεταξύ 45° και 100° 
• Για βαριά πορτάκια
• Ενσωματομένο ρυθμιζόμενο αμορτισέρ απόσβεσης</t>
  </si>
  <si>
    <t>Τ-76</t>
  </si>
  <si>
    <t>• Επιτρέπει την τοποθέτηση επιπλέον ντουλαπιού από  πάνω
•  Κρατάει το πορτάκι με ασφάλεια σε οποιαδήποτε γωνία μεταξύ 45° και 110° 
• Το πορτάκι ρυθμίζεται 3-διάστατα 
• Κουμπωτή τοποθέτηση
• Γιά βαριά πορτάκια
• Ενσωματομένο ρυθμιζόμενο αμορτισέρ απόσβεσης</t>
  </si>
  <si>
    <t>Τ-57</t>
  </si>
  <si>
    <t>• Επιτρέπει την τοποθέτηση επιπλέον ντουλαπιού από  πάνω
• Ρυθμιζόμενη γωνία ανοίγματος σε 75° ή 90°
• Για μεσαίου βάρους πορτάκια</t>
  </si>
  <si>
    <t>Τ-105</t>
  </si>
  <si>
    <t>• Επιτρέπει την τοποθέτηση επιπλέον ντουλαπιού από  πάνω
• Κρατάει το πορτάκι με ασφάλεια σε οποιαδήποτε γωνία μεταξύ 45° και 105° 
• Πολλές δυνατότητες εφαρμογής
• Λειτουργία ανοίγματος με ελλατήριο</t>
  </si>
  <si>
    <t>L-80 Παράλληλο κουμπάσο</t>
  </si>
  <si>
    <t>F-20 Κουμπάσο για σπαστό πορτάκι</t>
  </si>
  <si>
    <t>T-105 Κουμπάσο</t>
  </si>
  <si>
    <t>T-57 Κουμπάσο</t>
  </si>
  <si>
    <t>T-76 Κουμπάσο</t>
  </si>
  <si>
    <t>T-75 Κουμπάσο</t>
  </si>
  <si>
    <t>T-71 Κουμπάσο</t>
  </si>
  <si>
    <t>T-70 Κουμπάσο</t>
  </si>
  <si>
    <t>T-65 Κουμπάσο</t>
  </si>
  <si>
    <t xml:space="preserve">S-35 Κουμπάσο </t>
  </si>
  <si>
    <t>Ξύλινη σύνδεση</t>
  </si>
  <si>
    <t>19 χιλ. Αλουμίνιο</t>
  </si>
  <si>
    <t>Σχεδιασμένο για</t>
  </si>
  <si>
    <t>πάτημα σε χιλιοστά</t>
  </si>
  <si>
    <t>κουμπάσο</t>
  </si>
  <si>
    <t>πόμολο</t>
  </si>
  <si>
    <t>μήκος</t>
  </si>
  <si>
    <t>πλάτος</t>
  </si>
  <si>
    <t>ύψος</t>
  </si>
  <si>
    <t>πάχος</t>
  </si>
  <si>
    <t>υλικού</t>
  </si>
  <si>
    <t>βάρος</t>
  </si>
  <si>
    <t>Το επιλεγμένο κουμπάσο δεν είναι κατάλληλο για τις διαστάσεις που έχουν επιλεγεί</t>
  </si>
  <si>
    <t>Το επιλεγμένο κουμπάσο δεν είναι κατάλληλο για το βάρος που έχει επιλεγεί</t>
  </si>
  <si>
    <t>*Το υπολογιζόμενο ειδικό βάρος ανταποκρίνεται στον μέσο όρο. Τα πραγρατικά αποτελέσματα μπορεί να διαφέρουν. Προτείνουμε μια δοκιμαστική εφαρμογή.</t>
  </si>
  <si>
    <t>Λύσεις με</t>
  </si>
  <si>
    <t>Λύση με</t>
  </si>
  <si>
    <t>Κουμπάσα</t>
  </si>
  <si>
    <t>Ύψος ντουλαπιού</t>
  </si>
  <si>
    <t>Βάρος κουμπάσου</t>
  </si>
  <si>
    <t>Μεντεσές</t>
  </si>
  <si>
    <t>χρειάζεται επίσης</t>
  </si>
  <si>
    <t>Προτείνουμε</t>
  </si>
  <si>
    <t>μεντεσέ</t>
  </si>
  <si>
    <t>και</t>
  </si>
  <si>
    <t>τακάκι</t>
  </si>
  <si>
    <t>Υπολογισμένο βάρος :</t>
  </si>
  <si>
    <t>Εισαγωγή βάρους :</t>
  </si>
  <si>
    <t>Σύνολο :</t>
  </si>
  <si>
    <t>Πρόταση</t>
  </si>
  <si>
    <t>← πίσω</t>
  </si>
  <si>
    <t>Πληροφορία</t>
  </si>
  <si>
    <t>Αριθμός Παραγγελίας</t>
  </si>
  <si>
    <t>Σελίδα</t>
  </si>
  <si>
    <t>Διαχείριση ενέργειας</t>
  </si>
  <si>
    <t>Σετ ( Αρ + Δε )</t>
  </si>
  <si>
    <t>Αριστερό</t>
  </si>
  <si>
    <t>Οδηγός τύπος 1</t>
  </si>
  <si>
    <t>Οδηγός τύπος 2</t>
  </si>
  <si>
    <t>Οδηγός τύπος 3</t>
  </si>
  <si>
    <t>Οδηγός τύπος 4</t>
  </si>
  <si>
    <t>Οδηγός τύπος 5</t>
  </si>
  <si>
    <t>Οδηγός τύπος 6</t>
  </si>
  <si>
    <t>Οδηγός τύπος 7</t>
  </si>
  <si>
    <t>Ελλατήριο Α</t>
  </si>
  <si>
    <t>Ελλατήριο Β</t>
  </si>
  <si>
    <t>Ελλατήριο C</t>
  </si>
  <si>
    <t>Ελλατήριο D</t>
  </si>
  <si>
    <t>Ελλατήριο E</t>
  </si>
  <si>
    <t>Ελλατήριο standard</t>
  </si>
  <si>
    <t>Ελλατήριο Μαύρο</t>
  </si>
  <si>
    <t>Ελλατήριο Άσπρο</t>
  </si>
  <si>
    <t>Ελλατήριο Πορτοκαλί</t>
  </si>
  <si>
    <t>Ελλατήριο στη μία πλευρά κίτρινο</t>
  </si>
  <si>
    <t>Ελλατήριο και στις δύο πλευρές κίτρινο</t>
  </si>
  <si>
    <t>Ελλατήριο μαύρο στις δύο πλευρές</t>
  </si>
  <si>
    <t>ρυθμιζόμενο</t>
  </si>
  <si>
    <t>Κουμπάσο μιάς στήριξης</t>
  </si>
  <si>
    <t>Κουμπάσο δύο στηρίξεων</t>
  </si>
  <si>
    <t>Σετ αντάπτορα πλαισίου αλουμινίου L-80</t>
  </si>
  <si>
    <t>Σετ  αντάπτορα πλαισίου αλουμινίου F-20</t>
  </si>
  <si>
    <t>Σετ  αντάπτορα πλαισίου αλουμινίου T-76</t>
  </si>
  <si>
    <t>Σετ  αντάπτορα πλαισίου αλουμινίου T-71</t>
  </si>
  <si>
    <t>Σετ  αντάπτορα πλαισίου αλουμινίου S-35</t>
  </si>
  <si>
    <t>Κουμπάσο Kinvaro T-105 δεξί</t>
  </si>
  <si>
    <t>MDF - Ινοσανίδα</t>
  </si>
  <si>
    <t>Μοριοσανίδα</t>
  </si>
  <si>
    <t>Πεύκο</t>
  </si>
  <si>
    <t>Γυαλί</t>
  </si>
  <si>
    <t>Αφρομόσια</t>
  </si>
  <si>
    <t>Σφένδαμος</t>
  </si>
  <si>
    <t>Φλαμουριά</t>
  </si>
  <si>
    <t>Μηλιά</t>
  </si>
  <si>
    <t>Μπάλσα</t>
  </si>
  <si>
    <t>Μπαμπού</t>
  </si>
  <si>
    <t>Σημύδα</t>
  </si>
  <si>
    <t>Αχλαδιά</t>
  </si>
  <si>
    <t>Οξυά</t>
  </si>
  <si>
    <t>Έλατο</t>
  </si>
  <si>
    <t>Έβενος</t>
  </si>
  <si>
    <t>κλήθρα</t>
  </si>
  <si>
    <t>Λεύκα</t>
  </si>
  <si>
    <t>Ελάτη</t>
  </si>
  <si>
    <t>Γκαμπόν</t>
  </si>
  <si>
    <t>Χέμλοκ</t>
  </si>
  <si>
    <t>Ιρόκο</t>
  </si>
  <si>
    <t>Καστανιά</t>
  </si>
  <si>
    <t>Κερασιά</t>
  </si>
  <si>
    <t>Αγριόπευκο</t>
  </si>
  <si>
    <t>Μαόνι</t>
  </si>
  <si>
    <t>Λεύκα, Καναδική</t>
  </si>
  <si>
    <t>Ελαιοκάρυδο</t>
  </si>
  <si>
    <t>Πλάτανος</t>
  </si>
  <si>
    <t>Αγιόξυλο</t>
  </si>
  <si>
    <t>Ραμίν</t>
  </si>
  <si>
    <t>Ψευτοακακία</t>
  </si>
  <si>
    <t>Νοβοπάν</t>
  </si>
  <si>
    <t>Τικ</t>
  </si>
  <si>
    <t>Φτελιά</t>
  </si>
  <si>
    <t>Αγριοκαρυδιά</t>
  </si>
  <si>
    <t>Ιτιά</t>
  </si>
  <si>
    <t>Κέδρος</t>
  </si>
  <si>
    <t>Κυπαρίσσι</t>
  </si>
  <si>
    <t xml:space="preserve">Τακάκι </t>
  </si>
  <si>
    <t>Μεντεσές πλαισίου Αλουμινίου</t>
  </si>
  <si>
    <t>Δυνατότητα βιομηχανικής συσκευασίας</t>
  </si>
  <si>
    <t>γερμανικά</t>
  </si>
  <si>
    <t>πορτογαλικά</t>
  </si>
  <si>
    <t>τουρκικά</t>
  </si>
  <si>
    <t>κινέζικα</t>
  </si>
  <si>
    <t>ρωσικά</t>
  </si>
  <si>
    <t>ελληνικά</t>
  </si>
  <si>
    <t>γλώσσα</t>
  </si>
  <si>
    <t xml:space="preserve">γκρίζος </t>
  </si>
  <si>
    <t>άσπρο</t>
  </si>
  <si>
    <t>Aluminium frame hinge</t>
  </si>
  <si>
    <t>Item#</t>
  </si>
  <si>
    <t>PU</t>
  </si>
  <si>
    <t>Description</t>
  </si>
  <si>
    <t>Comment</t>
  </si>
  <si>
    <t>Poignée</t>
  </si>
  <si>
    <t>emballage industriel possible</t>
  </si>
  <si>
    <t>Rumänisch</t>
  </si>
  <si>
    <t>Limba</t>
  </si>
  <si>
    <t>Germana</t>
  </si>
  <si>
    <t>Engleza</t>
  </si>
  <si>
    <t>Suedeza</t>
  </si>
  <si>
    <t>Italiana</t>
  </si>
  <si>
    <t>Franceza</t>
  </si>
  <si>
    <t>Spaniola</t>
  </si>
  <si>
    <t>Portugheza</t>
  </si>
  <si>
    <t>Turca</t>
  </si>
  <si>
    <t>Chineza</t>
  </si>
  <si>
    <t>Ruseste</t>
  </si>
  <si>
    <t>Greaca</t>
  </si>
  <si>
    <t>Romana</t>
  </si>
  <si>
    <t>Sistem de ridicare pentru usa plianta</t>
  </si>
  <si>
    <t>Pentru toate corpurile suspendate cu fronturi divizabile.
Miscare usoara.
Potrivit si pentru fronturi fara maner.
Amortizare la inchidere, ajustabila, integrata.</t>
  </si>
  <si>
    <t>Sistem de ridicare a usii paralel cu corpul</t>
  </si>
  <si>
    <t xml:space="preserve">Deschiderea frontului paralela cu corpul.
Potrivit pentru echiparea corpurilor cu cornisa sau sisteme atasate de lumini.
</t>
  </si>
  <si>
    <t>Sistem de ridicare pentru usa basculanta</t>
  </si>
  <si>
    <t xml:space="preserve">Potrivit pentru echiparea corpurilor cu cornisa sau sisteme atasate de lumini.
Miscare usoara.
Foarte puternic.
Amortizare la inchidere, ajustabila, integrata.
</t>
  </si>
  <si>
    <t>Sistem de ridicare a usii in unghi drept cu corpul</t>
  </si>
  <si>
    <t>Permite instalarea unui corp aditional deasupra.
Tine usa deschisa la orice unghi intre 45 si 100 de grade.
Pentru usi de greutate mica si medie.
Amortizare la inchidere, ajustabila, integrata.</t>
  </si>
  <si>
    <t>Permite instalarea unui corp aditional deasupra.
Tine usa deschisa la orice unghi intre 45 si 110 de grade.
Amortizare la inchidere, ajustabila, integrata.
Plaja mare de aplicatii.</t>
  </si>
  <si>
    <t xml:space="preserve">Permite instalarea unui corp aditional deasupra.
Tine usa deschisa la orice unghi intre 45 si 110 de grade.
Reglare 3D a frontului.
Instalare clip-on.
Amortizare la inchidere, ajustabila, integrata.
Plaja mare de aplicatii.
</t>
  </si>
  <si>
    <t xml:space="preserve">Permite instalare unui corp aditional deasupra.
Tine usa deschisa la orice unghi intre 45 si 110 de grade.
Pentru usi grele.
Amortizare la inchidere, ajustabila, integrata.
</t>
  </si>
  <si>
    <t>Permite instalare unui corp aditional deasupra.
Tine usa deschisa la orice unghi intre 45 si 110 de grade.
Amortizare la inchidere, ajustabila, integrata.
Reglare 3D a frontului.
Instalare clip-on.
Pentru usi grele.</t>
  </si>
  <si>
    <t>Permite instalare unui corp aditional deasupra.
Tine usa deschisa la orice unghi intre 75 si 90 de grade.
Pentru usi de marime medie.</t>
  </si>
  <si>
    <t>Permite instalare unui corp aditional deasupra.
Tine usa deschisa la orice unghi intre 45 si 105 de grade.
Plaja mare de aplicatii.
Functie de deschidere cu arc.</t>
  </si>
  <si>
    <t>L-80 Sistem de ridicare a usii paralel cu corpul.</t>
  </si>
  <si>
    <t>F-20 Sistem de ridicare pentru usa plianta.</t>
  </si>
  <si>
    <t>T-105 Mecanism de ridicare</t>
  </si>
  <si>
    <t>T-57 Sistem de ridicare a usii in unghi drept.</t>
  </si>
  <si>
    <t>T-76 Sistem de ridicare a usii in unghi drept.</t>
  </si>
  <si>
    <t>T-75 Sistem de ridicare a usii in unghi drept.</t>
  </si>
  <si>
    <t>T-71 Sistem de ridicare a usii in unghi drept.</t>
  </si>
  <si>
    <t>T-70 Sistem de ridicare a usii in unghi drept.</t>
  </si>
  <si>
    <t>T-65 Sistem de ridicare a usii in unghi drept.</t>
  </si>
  <si>
    <t>S-35 Sistem de ridicare pentru usa basculanta</t>
  </si>
  <si>
    <t>Front de lemn</t>
  </si>
  <si>
    <t>Front rama de aluminiu 19 mm</t>
  </si>
  <si>
    <t>Design pentru</t>
  </si>
  <si>
    <t>Acoperirea in mm</t>
  </si>
  <si>
    <t>Front</t>
  </si>
  <si>
    <t>Maner</t>
  </si>
  <si>
    <t>Lungime</t>
  </si>
  <si>
    <t>Latime</t>
  </si>
  <si>
    <t>Inaltime</t>
  </si>
  <si>
    <t>Grosime</t>
  </si>
  <si>
    <t>Greutate</t>
  </si>
  <si>
    <t>Sistemul selectat nu este bun pentru dimensiunile introduse</t>
  </si>
  <si>
    <t>Sistemul selectat nu este bun pentru greutatea introdusa</t>
  </si>
  <si>
    <t>*Forta gravitationala specificata corespunde mediei. Rezultatele actuale pot varia. Recomandam un test de incercare.</t>
  </si>
  <si>
    <t>Solutii cu</t>
  </si>
  <si>
    <t>Solutie cu</t>
  </si>
  <si>
    <t>Sisteme</t>
  </si>
  <si>
    <t>Inaltimea corpului</t>
  </si>
  <si>
    <t>Greutatea frontului</t>
  </si>
  <si>
    <t>Sistem</t>
  </si>
  <si>
    <t>Mai este necesar</t>
  </si>
  <si>
    <t>Noi recomandam:</t>
  </si>
  <si>
    <t>Balama</t>
  </si>
  <si>
    <t>si</t>
  </si>
  <si>
    <t>placuta de montaj</t>
  </si>
  <si>
    <t>Greutatea calculata</t>
  </si>
  <si>
    <t>Valoarea din manual:</t>
  </si>
  <si>
    <t>Recomandare</t>
  </si>
  <si>
    <t>Inapoi</t>
  </si>
  <si>
    <t>Informatie</t>
  </si>
  <si>
    <t>Numar de ordine</t>
  </si>
  <si>
    <t>laterala</t>
  </si>
  <si>
    <t>Reglajul puterii</t>
  </si>
  <si>
    <t>Set (stanga+dreapta)</t>
  </si>
  <si>
    <t>Stanga</t>
  </si>
  <si>
    <t>Brat ghidaj tip 1</t>
  </si>
  <si>
    <t>Brat ghidaj tip 2</t>
  </si>
  <si>
    <t>Brat ghidaj tip 3</t>
  </si>
  <si>
    <t>Brat ghidaj tip 4</t>
  </si>
  <si>
    <t>Brat ghidaj tip 5</t>
  </si>
  <si>
    <t>Brat ghidaj tip 6</t>
  </si>
  <si>
    <t>Brat ghidaj tip 7</t>
  </si>
  <si>
    <t>Arc A</t>
  </si>
  <si>
    <t>Arc B</t>
  </si>
  <si>
    <t>Arc C</t>
  </si>
  <si>
    <t>Arc D</t>
  </si>
  <si>
    <t>Arc E</t>
  </si>
  <si>
    <t>Arc standard</t>
  </si>
  <si>
    <t>Arc, negru</t>
  </si>
  <si>
    <t>Arc, alb</t>
  </si>
  <si>
    <t>Arc, portocaliu</t>
  </si>
  <si>
    <t>Arc pe o parte galben</t>
  </si>
  <si>
    <t>Arc pe ambele parti galben</t>
  </si>
  <si>
    <t>Arc pe ambele parti negru</t>
  </si>
  <si>
    <t>Reglabil</t>
  </si>
  <si>
    <t>1 front</t>
  </si>
  <si>
    <t>2 fronturi</t>
  </si>
  <si>
    <t>Set adaptor pentru rama de aluminiu L-80</t>
  </si>
  <si>
    <t>Set adaptor pentru rama de aluminiu F-20</t>
  </si>
  <si>
    <t>Set adaptor pentru rama de aluminiu T-76</t>
  </si>
  <si>
    <t>Set adaptor pentru rama de aluminiu T-71</t>
  </si>
  <si>
    <t>Set adaptor pentru rama de aluminiu S-35</t>
  </si>
  <si>
    <t>T-105 dreapta</t>
  </si>
  <si>
    <t>Balama de aluminiu</t>
  </si>
  <si>
    <t>Pachetizare vrac disponibila</t>
  </si>
  <si>
    <t>Capace de acoperire</t>
  </si>
  <si>
    <t>Alb</t>
  </si>
  <si>
    <t>Gri</t>
  </si>
  <si>
    <t>Mai multe detalii despre pachetizare vrac</t>
  </si>
  <si>
    <t>Pachetizare vrac</t>
  </si>
  <si>
    <t>Articol</t>
  </si>
  <si>
    <t>Unitate de impachetare</t>
  </si>
  <si>
    <t>Descriere</t>
  </si>
  <si>
    <t>Comentarii</t>
  </si>
  <si>
    <t>Romanian</t>
  </si>
  <si>
    <t>Pal</t>
  </si>
  <si>
    <t>Sticla</t>
  </si>
  <si>
    <t>Molid/Pin</t>
  </si>
  <si>
    <t>Arin</t>
  </si>
  <si>
    <t>Mar</t>
  </si>
  <si>
    <t>Frasin</t>
  </si>
  <si>
    <t>Tei</t>
  </si>
  <si>
    <t>Fag</t>
  </si>
  <si>
    <t>Mesteacan</t>
  </si>
  <si>
    <t>Cedru</t>
  </si>
  <si>
    <t>Cires</t>
  </si>
  <si>
    <t>Castan</t>
  </si>
  <si>
    <t>Lemn de bumbac</t>
  </si>
  <si>
    <t>Chiparos</t>
  </si>
  <si>
    <t>Brad Douglas</t>
  </si>
  <si>
    <t>Abanos</t>
  </si>
  <si>
    <t>Ulm</t>
  </si>
  <si>
    <t>Brad</t>
  </si>
  <si>
    <t>Cucuta</t>
  </si>
  <si>
    <t>Cicoare</t>
  </si>
  <si>
    <t>Iroco</t>
  </si>
  <si>
    <t>Zada</t>
  </si>
  <si>
    <t>Salcam</t>
  </si>
  <si>
    <t>Mahon</t>
  </si>
  <si>
    <t>Artar</t>
  </si>
  <si>
    <t>Placi aglomerate</t>
  </si>
  <si>
    <t>Par</t>
  </si>
  <si>
    <t>Nuc pecan</t>
  </si>
  <si>
    <t>Plop</t>
  </si>
  <si>
    <t>Lemn rosu</t>
  </si>
  <si>
    <t>Molid</t>
  </si>
  <si>
    <t>Paltin</t>
  </si>
  <si>
    <t>Tec</t>
  </si>
  <si>
    <t>Salcie</t>
  </si>
  <si>
    <t xml:space="preserve">Makas </t>
  </si>
  <si>
    <t>Makas kapağı</t>
  </si>
  <si>
    <t>Serbisch</t>
  </si>
  <si>
    <t>Serbian</t>
  </si>
  <si>
    <t>jezik</t>
  </si>
  <si>
    <t>Nemački</t>
  </si>
  <si>
    <t>Engleski</t>
  </si>
  <si>
    <t>Švedski</t>
  </si>
  <si>
    <t>italijanski</t>
  </si>
  <si>
    <t>Francuski</t>
  </si>
  <si>
    <t>Španski</t>
  </si>
  <si>
    <t>Portugalski</t>
  </si>
  <si>
    <t>Turski</t>
  </si>
  <si>
    <t>Kineski</t>
  </si>
  <si>
    <t>Ruski</t>
  </si>
  <si>
    <t>Grčki</t>
  </si>
  <si>
    <t>Podizni preklopni mehanizam</t>
  </si>
  <si>
    <t>• Za viseće elemente sa podeljenim vratima
• Izuzetno lako kretanje
• adekvatan za vrata bez ručica
• Integrisan podesivi amortizer</t>
  </si>
  <si>
    <t>Mehanizam za vertiklano podizanje</t>
  </si>
  <si>
    <t>• Otvranje vrata paralelno sa elementom
• Moguća ugradnja profila venaca, galerijskih podova i svetiljki
• Izuzetno lako kretanje
• Izuzetno stabilan
• Integrisan podesivi amortizer</t>
  </si>
  <si>
    <t>Mehanizam za zaokretno podizanje</t>
  </si>
  <si>
    <t>Podizni mehanizam</t>
  </si>
  <si>
    <t>• Mogućnost nadogradnje elementa
• Sigurno zaustavljanje vrata pod bilo kojim uglom između 45° i 100°
• Za vrata od malih do srednjih težina
• Integrisan podesivi amortizer</t>
  </si>
  <si>
    <t>• Mogućnost nadogradnje elementa
• Sigurno zaustavljanje vrata pod bilo kojim 
    uglom između 45° i 110°
• Integrisan  podesivi  amortizer
• Široki spektar primene</t>
  </si>
  <si>
    <t>• Mogućnost nadogradnje elementa
•  Sigurno zaustavljanje vrata pod bilo kojim 
   uglom između 45° i 110°
• Direktno, 3-D podešavanje vrata
• montaža fronta na klik
• Široki spektar primene
• Integrisan podesivi amortizer</t>
  </si>
  <si>
    <t>• Mogućnost nadogradnje elementa
• Sigurno zaustavljanje vrata pod bilo kojim 
   uglom između 45° i 110°
• Za teška vrata
• Integrisan podesivi amortizer</t>
  </si>
  <si>
    <t>• Mogućnost nadogradnje elementa
• Sigurno zaustavljanje vrata pod bilo kojim 
    kojim uglom između 45° i 110°
• Integrisan podesivi amortizer
• 3-D podešavanje vrata
• montaža fronta na klik
• Za teška vrata</t>
  </si>
  <si>
    <t>• Mogućnost nadogradnje elementa
• Podešavanje ugla otvaranja 75° ili 90°
• Za srednje veličine fronta</t>
  </si>
  <si>
    <t>podizni zglobni mehanizam</t>
  </si>
  <si>
    <t>• Mogućnost nadogradnje elementa
•  Sigurno zaustavljanje vrata pod bilo kojim 
    uglom između 45° i 105°
• Široki spektar primene
• Otvaranje pomoću opruge</t>
  </si>
  <si>
    <t>L-80 mehanizam za vertiklano podizanje</t>
  </si>
  <si>
    <t>F-20 podizni preklopni mehanizam</t>
  </si>
  <si>
    <t>T-105 podizni zglobni mehanizam</t>
  </si>
  <si>
    <t>T-57 podizni mehanizam</t>
  </si>
  <si>
    <t>T-76 podizni mehanizam</t>
  </si>
  <si>
    <t>T-75 podizni mehanizam</t>
  </si>
  <si>
    <t>T-71 podizni mehanizam</t>
  </si>
  <si>
    <t>T-70 podizni mehanizam</t>
  </si>
  <si>
    <t>T-65 podizni mehanizam</t>
  </si>
  <si>
    <t>S-35 mehanizam za zaokretno podizanje</t>
  </si>
  <si>
    <t>drvo</t>
  </si>
  <si>
    <t>19 mm aluminijum</t>
  </si>
  <si>
    <t>dizajn za</t>
  </si>
  <si>
    <t>pretvaranje u mm</t>
  </si>
  <si>
    <t>preklop</t>
  </si>
  <si>
    <t>ručica</t>
  </si>
  <si>
    <t>dužina</t>
  </si>
  <si>
    <t>širina</t>
  </si>
  <si>
    <t>visina</t>
  </si>
  <si>
    <t>debljina</t>
  </si>
  <si>
    <t>materijal</t>
  </si>
  <si>
    <t>težina</t>
  </si>
  <si>
    <t>Odabran okov nije predviđen za željene mere</t>
  </si>
  <si>
    <t>Odabran okov nije predviđen za željenu težinu</t>
  </si>
  <si>
    <t>* Pretpostavljena specifična težina odgovara proseku.
    Stvarni rezultat može varirati.
    Preporučuje se probna ugradnja.</t>
  </si>
  <si>
    <t>rešenja sa</t>
  </si>
  <si>
    <t>rešenje sa</t>
  </si>
  <si>
    <t>Okovi</t>
  </si>
  <si>
    <t>visina elementa</t>
  </si>
  <si>
    <t>težina fronta</t>
  </si>
  <si>
    <t>okov</t>
  </si>
  <si>
    <t>takođe je potrebno</t>
  </si>
  <si>
    <t>Preporućujemo:</t>
  </si>
  <si>
    <t>šarka</t>
  </si>
  <si>
    <t>i</t>
  </si>
  <si>
    <t>podloška</t>
  </si>
  <si>
    <t>izračunata težina:</t>
  </si>
  <si>
    <t>ručna vrednost:</t>
  </si>
  <si>
    <t>ukupno:</t>
  </si>
  <si>
    <t>preporuka</t>
  </si>
  <si>
    <t>← nazad</t>
  </si>
  <si>
    <t>informacija</t>
  </si>
  <si>
    <t>Broj narudžbenice</t>
  </si>
  <si>
    <t>stranica</t>
  </si>
  <si>
    <t>jačina</t>
  </si>
  <si>
    <t>Set (L+D)</t>
  </si>
  <si>
    <t>levi</t>
  </si>
  <si>
    <t>Poluga tip 1</t>
  </si>
  <si>
    <t>Poluga tip 2</t>
  </si>
  <si>
    <t>Poluga tip 3</t>
  </si>
  <si>
    <t>Poluga tip 4</t>
  </si>
  <si>
    <t>Poluga tip 5</t>
  </si>
  <si>
    <t>Poluga tip 6</t>
  </si>
  <si>
    <t>Poluga tip 7</t>
  </si>
  <si>
    <t>Opruga A</t>
  </si>
  <si>
    <t>Opruga B</t>
  </si>
  <si>
    <t>Opruga C</t>
  </si>
  <si>
    <t>Opruga D</t>
  </si>
  <si>
    <t>Opruga E</t>
  </si>
  <si>
    <t>Standardna opruga</t>
  </si>
  <si>
    <t>Opruga, crna</t>
  </si>
  <si>
    <t>Opruga, bela</t>
  </si>
  <si>
    <t>Opruga, narančasta</t>
  </si>
  <si>
    <t>Opruga je žuta na jednoj strani</t>
  </si>
  <si>
    <t>Opruga je žuta na obe strane</t>
  </si>
  <si>
    <t>Opruga je crna na obe strane</t>
  </si>
  <si>
    <t>podesivo</t>
  </si>
  <si>
    <t>?????</t>
  </si>
  <si>
    <t>Prihvatnik vrata za uski aluminijumski ram Kinvaro L-80 Set</t>
  </si>
  <si>
    <t>Prihvatnik vrata za uski aluminijumski ram Kinvaro F-20 Set</t>
  </si>
  <si>
    <t>Prihvatnik vrata za uski aluminijumski ram Kinvaro T-76 Set</t>
  </si>
  <si>
    <t>Prihvatnik vrata za uski aluminijumski ram Kinvaro T-71 Set</t>
  </si>
  <si>
    <t>Prihvatnik vrata za uski aluminijumski ram Kinvaro S-35 Set</t>
  </si>
  <si>
    <t>podizni zglobni mehanizam Kinvaro T-105 desni</t>
  </si>
  <si>
    <t>Industrijsko pakovanje je dostupno</t>
  </si>
  <si>
    <t>pokrivna kapa</t>
  </si>
  <si>
    <t>bela</t>
  </si>
  <si>
    <t>siva</t>
  </si>
  <si>
    <t>Više detalja za industrijsko pakovanje</t>
  </si>
  <si>
    <t>Industrijsko pakovanje</t>
  </si>
  <si>
    <t>Artikal#</t>
  </si>
  <si>
    <t>JM</t>
  </si>
  <si>
    <t>Opis</t>
  </si>
  <si>
    <t>Komentar</t>
  </si>
  <si>
    <t>• Zaokreće se iznad elementa
• Moguća upotreba profila venaca, galerijskih podova i svjetiljki
• Izuzetno lako kretanje
• Izuzetno stabilan
• Integrisan podesivi amortizer</t>
  </si>
  <si>
    <t>šarka za uski aluminijumski ram</t>
  </si>
  <si>
    <t>Finnisch</t>
  </si>
  <si>
    <t>Kieli</t>
  </si>
  <si>
    <t>Saksa</t>
  </si>
  <si>
    <t>Englanti</t>
  </si>
  <si>
    <t>Ruotsi</t>
  </si>
  <si>
    <t>Italia</t>
  </si>
  <si>
    <t>Ranska</t>
  </si>
  <si>
    <t>Espanja</t>
  </si>
  <si>
    <t>Portugali</t>
  </si>
  <si>
    <t>Turkki</t>
  </si>
  <si>
    <t>Kiina</t>
  </si>
  <si>
    <t>Venäjä</t>
  </si>
  <si>
    <t>Kreikka</t>
  </si>
  <si>
    <t>Romania</t>
  </si>
  <si>
    <t>Suomi</t>
  </si>
  <si>
    <t>Taiteoven mekanismi</t>
  </si>
  <si>
    <t>• yläkaapeille, jaettu ovi
• erittäin kevyt avautuminen
• myös ilman vedintä olevat ovet
• säädettävä vaimennus</t>
  </si>
  <si>
    <t>Nosto-oven mekanismi</t>
  </si>
  <si>
    <t>• avaa oven suoraan ylös
• soveltuu laitekaapeille, kaapeille joissa koristelista tai valot kaapin päällä
• erittäin kevyt avautuminen
• tukeva
• säädettävä vaimennus</t>
  </si>
  <si>
    <t>Nostokääntöoven mekanismi</t>
  </si>
  <si>
    <t>• yläkaapeille, ovi kääntyy kaapin päälle
• kaapeille joissa koristelista tai valot kaapin päällä
• erittäin kevyt avautuminen
• tukeva
• säädettävä vaimennus</t>
  </si>
  <si>
    <t>Klaffimekanismi</t>
  </si>
  <si>
    <r>
      <t>• mahdollista asentaa kaksi kaappia päällekkäin
• pitää klaffioven paikallaan 45</t>
    </r>
    <r>
      <rPr>
        <sz val="11"/>
        <color theme="1"/>
        <rFont val="Verdana"/>
        <family val="2"/>
      </rPr>
      <t>˚</t>
    </r>
    <r>
      <rPr>
        <sz val="11"/>
        <color theme="1"/>
        <rFont val="Calibri"/>
        <family val="2"/>
      </rPr>
      <t xml:space="preserve"> - 100</t>
    </r>
    <r>
      <rPr>
        <sz val="11"/>
        <color theme="1"/>
        <rFont val="Verdana"/>
        <family val="2"/>
      </rPr>
      <t>˚</t>
    </r>
    <r>
      <rPr>
        <sz val="11"/>
        <color theme="1"/>
        <rFont val="Calibri"/>
        <family val="2"/>
      </rPr>
      <t xml:space="preserve"> avautumiskulmassa</t>
    </r>
    <r>
      <rPr>
        <sz val="11"/>
        <color theme="1"/>
        <rFont val="Calibri"/>
        <family val="2"/>
        <scheme val="minor"/>
      </rPr>
      <t xml:space="preserve">
• kevyille oville
• säädettävä vaimennus</t>
    </r>
  </si>
  <si>
    <r>
      <t>• mahdollista asentaa kaksi kaappia päällekkäin
• pitää klaffioven paikallaan 45</t>
    </r>
    <r>
      <rPr>
        <sz val="11"/>
        <color theme="1"/>
        <rFont val="Verdana"/>
        <family val="2"/>
      </rPr>
      <t>˚</t>
    </r>
    <r>
      <rPr>
        <sz val="11"/>
        <color theme="1"/>
        <rFont val="Calibri"/>
        <family val="2"/>
      </rPr>
      <t xml:space="preserve"> - 100</t>
    </r>
    <r>
      <rPr>
        <sz val="11"/>
        <color theme="1"/>
        <rFont val="Verdana"/>
        <family val="2"/>
      </rPr>
      <t>˚</t>
    </r>
    <r>
      <rPr>
        <sz val="11"/>
        <color theme="1"/>
        <rFont val="Calibri"/>
        <family val="2"/>
      </rPr>
      <t xml:space="preserve"> avautumiskulmassa</t>
    </r>
    <r>
      <rPr>
        <sz val="11"/>
        <color theme="1"/>
        <rFont val="Calibri"/>
        <family val="2"/>
        <scheme val="minor"/>
      </rPr>
      <t xml:space="preserve">
• normaali ovipainoille
• säädettävä vaimennus</t>
    </r>
  </si>
  <si>
    <t>• mahdollista asentaa kaksi kaappia päällekkäin
• pitää klaffioven paikallaan 45° -  110° avautumiskulmassa
• ovikiinnikkeessä 3-D säätö 
• pikakiinnitys
• normaali ovipainoille
• säädettävä vaimennus</t>
  </si>
  <si>
    <t>• mahdollista asentaa kaksi kaappia päällekkäin
• pitää klaffioven paikallaan 45° -  110° avautumiskulmassa
• suurille ovipainoille
• säädettävä vaimennus</t>
  </si>
  <si>
    <t>• mahdollista asentaa kaksi kaappia päällekkäin
• pitää klaffioven paikallaan 45° -  110° avautumiskulmassa
• ovikiinnikkeessä 3-D säätö 
• pikakiinnitys
• suurille ovipainoille
• säädettävä vaimennus</t>
  </si>
  <si>
    <t>• mahdollista asentaa kaksi kaappia päällekkäin
• avautuminen säädettävissä joko 75° tai 90°
• normaali ovipainolle</t>
  </si>
  <si>
    <t>Klaffituki</t>
  </si>
  <si>
    <t>• mahdollista asentaa kaksi kaappia päällekkäin
•  pitää klaffioven paikallaan 45° - 105° avautumiskulmassa
• paljon käyttökohteita
• avautuminen jousen avulla</t>
  </si>
  <si>
    <t>L-80 nosto-oven mekanismi</t>
  </si>
  <si>
    <t>F-20 taiteoven mekanismi</t>
  </si>
  <si>
    <t>T-105 klaffituki</t>
  </si>
  <si>
    <t>T-57 klaffimekanismi</t>
  </si>
  <si>
    <t>T-76 klaffimekanismi</t>
  </si>
  <si>
    <t>T-75 klaffimekanismi</t>
  </si>
  <si>
    <t>T-71 klaffimekanismi</t>
  </si>
  <si>
    <t>t-70 klaffimekanismi</t>
  </si>
  <si>
    <t>T-65 klaffimekanismi</t>
  </si>
  <si>
    <t>S-35 nostokääntöoven mekanismi</t>
  </si>
  <si>
    <t>puukiinnitys</t>
  </si>
  <si>
    <t>19mm alumiini</t>
  </si>
  <si>
    <t>esitys</t>
  </si>
  <si>
    <t>ylitys mm</t>
  </si>
  <si>
    <t>klaffiovi</t>
  </si>
  <si>
    <t>vedin</t>
  </si>
  <si>
    <t>pituus</t>
  </si>
  <si>
    <t>leveys</t>
  </si>
  <si>
    <t>korkeus</t>
  </si>
  <si>
    <t>paksuus</t>
  </si>
  <si>
    <t>materiaali</t>
  </si>
  <si>
    <t>paino</t>
  </si>
  <si>
    <t>Valittu mekanismi ei sovellu annettuihin mittoihin</t>
  </si>
  <si>
    <t>Valittu mekanismi ei sovellu annettuun painoon</t>
  </si>
  <si>
    <t>* Laskettu paino vastaa keskiarvoa. 
Käytännössa arvo saattaa  vaihdella. 
Suosittelemme testi asennusta.</t>
  </si>
  <si>
    <t>vaihtoehdot</t>
  </si>
  <si>
    <t>valittu</t>
  </si>
  <si>
    <t>malli</t>
  </si>
  <si>
    <t>rungon korkeus</t>
  </si>
  <si>
    <t>oven paino</t>
  </si>
  <si>
    <t>mekanismi</t>
  </si>
  <si>
    <t>tarvitaan myös</t>
  </si>
  <si>
    <t>suosittelemme</t>
  </si>
  <si>
    <t>sarana</t>
  </si>
  <si>
    <t>aluslevy</t>
  </si>
  <si>
    <t>laskettu paino</t>
  </si>
  <si>
    <t>punnittu paino</t>
  </si>
  <si>
    <t>yhteensä:</t>
  </si>
  <si>
    <t>suositus</t>
  </si>
  <si>
    <t>← takaisin</t>
  </si>
  <si>
    <t>info</t>
  </si>
  <si>
    <t>Art No</t>
  </si>
  <si>
    <t>sivu</t>
  </si>
  <si>
    <t>voiman laskeminen</t>
  </si>
  <si>
    <t>setti (V+O)</t>
  </si>
  <si>
    <t>vasen</t>
  </si>
  <si>
    <t>ohjausvarsi malli 1</t>
  </si>
  <si>
    <t>ohjausvarsi malli 2</t>
  </si>
  <si>
    <t>ohjausvarsi malli 3</t>
  </si>
  <si>
    <t>ohjausvarsi malli 4</t>
  </si>
  <si>
    <t>ohjausvarsi malli 5</t>
  </si>
  <si>
    <t>ohjausvarsi malli 6</t>
  </si>
  <si>
    <t>ohjausvarsi malli 7</t>
  </si>
  <si>
    <t>vastajousi A</t>
  </si>
  <si>
    <t>vastajousi B</t>
  </si>
  <si>
    <t>vastajousi C</t>
  </si>
  <si>
    <t>vastajousi D</t>
  </si>
  <si>
    <t>vastajousi E</t>
  </si>
  <si>
    <t>jousi, vakio</t>
  </si>
  <si>
    <t>jousi, musta</t>
  </si>
  <si>
    <t xml:space="preserve">jousi, valkoinen </t>
  </si>
  <si>
    <t>jousi, oranssi</t>
  </si>
  <si>
    <t>keltainen jousi, yksipuoleinen</t>
  </si>
  <si>
    <t>keltainen jousi, molemmin puolin</t>
  </si>
  <si>
    <t>musta jousi, molemmin puolin</t>
  </si>
  <si>
    <t>säädettävä</t>
  </si>
  <si>
    <t>1 klaffimekanismi</t>
  </si>
  <si>
    <t>2 klaffimekanismia</t>
  </si>
  <si>
    <t>alumiinikehyksen kiinnike L-80</t>
  </si>
  <si>
    <t>alumiinikehyksen kiinnike F-20</t>
  </si>
  <si>
    <t>alumiinikehyksen kiinnike T-76</t>
  </si>
  <si>
    <t>alumiinikehyksen kiinnike T-71</t>
  </si>
  <si>
    <t>alumiinikehyksen kiinnike S-35</t>
  </si>
  <si>
    <t>klaffihela Kinvaro T-105 oikea</t>
  </si>
  <si>
    <t>kiinnityslevy</t>
  </si>
  <si>
    <t>sarana alumiinikehykselle</t>
  </si>
  <si>
    <t>saatavilla teollisuuspakkaus</t>
  </si>
  <si>
    <t>peite</t>
  </si>
  <si>
    <t>valkoinen</t>
  </si>
  <si>
    <t>harmaa</t>
  </si>
  <si>
    <t>info teollisuuspakkaus</t>
  </si>
  <si>
    <t>teollisuuspakkaus</t>
  </si>
  <si>
    <t>pakkauskoko</t>
  </si>
  <si>
    <t>kuvaus</t>
  </si>
  <si>
    <t>yhteenveto</t>
  </si>
  <si>
    <t>Finnnish</t>
  </si>
  <si>
    <t>Havupuu</t>
  </si>
  <si>
    <t>Lasi</t>
  </si>
  <si>
    <t>MDF levy</t>
  </si>
  <si>
    <t>Lastulevy</t>
  </si>
  <si>
    <t>Vaahtera</t>
  </si>
  <si>
    <t>Lehmus</t>
  </si>
  <si>
    <t>Omenapuu</t>
  </si>
  <si>
    <t>Koivu</t>
  </si>
  <si>
    <t>Päärynäpuu</t>
  </si>
  <si>
    <t>Pyökki</t>
  </si>
  <si>
    <t>Douglas kuusi</t>
  </si>
  <si>
    <t>Eebenpuu</t>
  </si>
  <si>
    <t>Leppä</t>
  </si>
  <si>
    <t>Saarni</t>
  </si>
  <si>
    <t>Haapa</t>
  </si>
  <si>
    <t>Kuusi</t>
  </si>
  <si>
    <t>Kastanja</t>
  </si>
  <si>
    <t>Mänty</t>
  </si>
  <si>
    <t>Kirsikkapuu</t>
  </si>
  <si>
    <t>Lehtikuusi</t>
  </si>
  <si>
    <t>Mahogani</t>
  </si>
  <si>
    <t>Mammuttipetäjä</t>
  </si>
  <si>
    <t>Poppeli</t>
  </si>
  <si>
    <t>Kanadan poppeli</t>
  </si>
  <si>
    <t>Pähkinäpuu</t>
  </si>
  <si>
    <t>Palisanteri</t>
  </si>
  <si>
    <t>Pekaanipuu</t>
  </si>
  <si>
    <t>Pihta</t>
  </si>
  <si>
    <t>Tiikki</t>
  </si>
  <si>
    <t>Jalava</t>
  </si>
  <si>
    <t>Paju</t>
  </si>
  <si>
    <t>Setripuu</t>
  </si>
  <si>
    <t>Sypressi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</si>
</sst>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\ &quot;kg&quot;"/>
    <numFmt numFmtId="166" formatCode="0\ &quot;g&quot;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9"/>
      <color indexed="81"/>
      <name val="Tahoma"/>
      <family val="2"/>
    </font>
    <font>
      <strike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name val="Calibri"/>
      <family val="2"/>
      <scheme val="minor"/>
    </font>
    <font>
      <sz val="9"/>
      <color rgb="FF008028"/>
      <name val="Calibri"/>
      <family val="2"/>
      <scheme val="minor"/>
    </font>
    <font>
      <sz val="12"/>
      <color theme="6" tint="0.3999755851924192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8"/>
      <color rgb="FF00601E"/>
      <name val="Wingdings"/>
      <charset val="2"/>
    </font>
    <font>
      <b/>
      <sz val="14"/>
      <color theme="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C092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rgb="FF3F3F3F"/>
      <name val="Arial"/>
      <family val="2"/>
    </font>
    <font>
      <sz val="10"/>
      <name val="Arial"/>
      <family val="2"/>
    </font>
    <font>
      <sz val="10"/>
      <color rgb="FF006100"/>
      <name val="Arial"/>
      <family val="2"/>
    </font>
    <font>
      <b/>
      <sz val="9"/>
      <color theme="1"/>
      <name val="Calibri"/>
      <family val="2"/>
      <scheme val="minor"/>
    </font>
    <font>
      <sz val="10.5"/>
      <color rgb="FF1F497D"/>
      <name val="SimSun"/>
    </font>
    <font>
      <u/>
      <sz val="11"/>
      <color rgb="FF0000FF"/>
      <name val="Calibri"/>
      <family val="2"/>
    </font>
    <font>
      <sz val="11"/>
      <color theme="1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802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rgb="FF00601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theme="0" tint="-0.34998626667073579"/>
        <bgColor theme="9"/>
      </patternFill>
    </fill>
    <fill>
      <patternFill patternType="solid">
        <fgColor rgb="FF00B050"/>
        <bgColor indexed="64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ck">
        <color rgb="FFFFFF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8028"/>
      </left>
      <right/>
      <top/>
      <bottom/>
      <diagonal/>
    </border>
    <border>
      <left style="thin">
        <color rgb="FF008028"/>
      </left>
      <right/>
      <top/>
      <bottom style="thin">
        <color indexed="64"/>
      </bottom>
      <diagonal/>
    </border>
    <border>
      <left/>
      <right style="thin">
        <color rgb="FF00802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theme="1"/>
      </top>
      <bottom/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theme="1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8028"/>
      </bottom>
      <diagonal/>
    </border>
    <border>
      <left/>
      <right style="thick">
        <color rgb="FF008028"/>
      </right>
      <top style="thick">
        <color rgb="FF008028"/>
      </top>
      <bottom/>
      <diagonal/>
    </border>
    <border>
      <left/>
      <right style="thick">
        <color rgb="FF008028"/>
      </right>
      <top/>
      <bottom style="thick">
        <color rgb="FF008028"/>
      </bottom>
      <diagonal/>
    </border>
    <border>
      <left/>
      <right/>
      <top style="medium">
        <color rgb="FF008028"/>
      </top>
      <bottom style="medium">
        <color rgb="FF008028"/>
      </bottom>
      <diagonal/>
    </border>
    <border>
      <left style="thick">
        <color rgb="FF92D050"/>
      </left>
      <right/>
      <top style="thick">
        <color rgb="FF92D050"/>
      </top>
      <bottom/>
      <diagonal/>
    </border>
    <border>
      <left/>
      <right/>
      <top style="thick">
        <color rgb="FF92D050"/>
      </top>
      <bottom/>
      <diagonal/>
    </border>
    <border>
      <left/>
      <right style="thick">
        <color rgb="FF92D050"/>
      </right>
      <top style="thick">
        <color rgb="FF92D050"/>
      </top>
      <bottom/>
      <diagonal/>
    </border>
    <border>
      <left style="thick">
        <color rgb="FF92D050"/>
      </left>
      <right/>
      <top/>
      <bottom style="thick">
        <color rgb="FF92D050"/>
      </bottom>
      <diagonal/>
    </border>
    <border>
      <left/>
      <right/>
      <top/>
      <bottom style="thick">
        <color rgb="FF92D050"/>
      </bottom>
      <diagonal/>
    </border>
    <border>
      <left/>
      <right style="thick">
        <color rgb="FF92D050"/>
      </right>
      <top/>
      <bottom style="thick">
        <color rgb="FF92D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008028"/>
      </top>
      <bottom/>
      <diagonal/>
    </border>
    <border>
      <left/>
      <right/>
      <top/>
      <bottom style="thick">
        <color rgb="FF00601E"/>
      </bottom>
      <diagonal/>
    </border>
    <border>
      <left style="thin">
        <color rgb="FF00601E"/>
      </left>
      <right/>
      <top style="thin">
        <color rgb="FF00601E"/>
      </top>
      <bottom style="thin">
        <color rgb="FF00601E"/>
      </bottom>
      <diagonal/>
    </border>
    <border>
      <left/>
      <right/>
      <top style="thin">
        <color rgb="FF00601E"/>
      </top>
      <bottom style="thin">
        <color rgb="FF00601E"/>
      </bottom>
      <diagonal/>
    </border>
    <border>
      <left/>
      <right style="thin">
        <color rgb="FF00601E"/>
      </right>
      <top style="thin">
        <color rgb="FF00601E"/>
      </top>
      <bottom style="thin">
        <color rgb="FF00601E"/>
      </bottom>
      <diagonal/>
    </border>
    <border>
      <left/>
      <right style="medium">
        <color rgb="FF008028"/>
      </right>
      <top style="medium">
        <color rgb="FF008028"/>
      </top>
      <bottom style="medium">
        <color rgb="FF008028"/>
      </bottom>
      <diagonal/>
    </border>
    <border>
      <left style="medium">
        <color rgb="FF008028"/>
      </left>
      <right/>
      <top style="medium">
        <color rgb="FF008028"/>
      </top>
      <bottom style="medium">
        <color rgb="FF008028"/>
      </bottom>
      <diagonal/>
    </border>
    <border>
      <left/>
      <right style="thick">
        <color rgb="FF008028"/>
      </right>
      <top/>
      <bottom/>
      <diagonal/>
    </border>
    <border>
      <left/>
      <right/>
      <top/>
      <bottom style="thick">
        <color rgb="FF008028"/>
      </bottom>
      <diagonal/>
    </border>
    <border>
      <left/>
      <right/>
      <top style="thick">
        <color rgb="FF008028"/>
      </top>
      <bottom style="thick">
        <color rgb="FF00601E"/>
      </bottom>
      <diagonal/>
    </border>
    <border>
      <left style="thick">
        <color rgb="FF92D050"/>
      </left>
      <right/>
      <top/>
      <bottom/>
      <diagonal/>
    </border>
    <border>
      <left/>
      <right style="thick">
        <color rgb="FF92D05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auto="1"/>
      </diagonal>
    </border>
    <border diagonalDown="1">
      <left/>
      <right/>
      <top/>
      <bottom style="thin">
        <color indexed="64"/>
      </bottom>
      <diagonal style="thin">
        <color auto="1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rgb="FFFF0000"/>
      </left>
      <right/>
      <top style="medium">
        <color theme="1"/>
      </top>
      <bottom/>
      <diagonal/>
    </border>
    <border>
      <left style="thin">
        <color indexed="64"/>
      </left>
      <right style="thick">
        <color rgb="FFFF0000"/>
      </right>
      <top style="medium">
        <color theme="1"/>
      </top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 style="double">
        <color indexed="64"/>
      </top>
      <bottom/>
      <diagonal/>
    </border>
    <border>
      <left style="thin">
        <color indexed="64"/>
      </left>
      <right style="thick">
        <color rgb="FFFF0000"/>
      </right>
      <top style="double">
        <color indexed="64"/>
      </top>
      <bottom/>
      <diagonal/>
    </border>
    <border>
      <left style="thick">
        <color rgb="FFFF0000"/>
      </left>
      <right/>
      <top/>
      <bottom style="double">
        <color indexed="64"/>
      </bottom>
      <diagonal/>
    </border>
    <border>
      <left style="thin">
        <color indexed="64"/>
      </left>
      <right style="thick">
        <color rgb="FFFF0000"/>
      </right>
      <top/>
      <bottom style="double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theme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40" fillId="0" borderId="0"/>
    <xf numFmtId="0" fontId="41" fillId="14" borderId="62" applyNumberFormat="0" applyAlignment="0" applyProtection="0"/>
    <xf numFmtId="0" fontId="42" fillId="0" borderId="0"/>
    <xf numFmtId="0" fontId="40" fillId="0" borderId="0"/>
    <xf numFmtId="0" fontId="42" fillId="0" borderId="0">
      <alignment vertical="center"/>
    </xf>
    <xf numFmtId="0" fontId="43" fillId="13" borderId="0" applyNumberFormat="0" applyBorder="0" applyAlignment="0" applyProtection="0"/>
  </cellStyleXfs>
  <cellXfs count="38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3" borderId="0" xfId="0" applyFill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12" xfId="0" applyBorder="1" applyAlignment="1">
      <alignment textRotation="45"/>
    </xf>
    <xf numFmtId="0" fontId="0" fillId="0" borderId="11" xfId="0" applyFill="1" applyBorder="1"/>
    <xf numFmtId="0" fontId="0" fillId="0" borderId="13" xfId="0" applyBorder="1"/>
    <xf numFmtId="0" fontId="0" fillId="0" borderId="14" xfId="0" applyBorder="1"/>
    <xf numFmtId="1" fontId="0" fillId="0" borderId="2" xfId="0" applyNumberFormat="1" applyBorder="1"/>
    <xf numFmtId="164" fontId="0" fillId="0" borderId="0" xfId="0" applyNumberFormat="1" applyBorder="1"/>
    <xf numFmtId="0" fontId="7" fillId="5" borderId="17" xfId="0" applyFont="1" applyFill="1" applyBorder="1" applyAlignment="1">
      <alignment horizontal="center" textRotation="60"/>
    </xf>
    <xf numFmtId="0" fontId="7" fillId="5" borderId="18" xfId="0" applyFont="1" applyFill="1" applyBorder="1" applyAlignment="1">
      <alignment horizontal="center" textRotation="60"/>
    </xf>
    <xf numFmtId="0" fontId="7" fillId="5" borderId="17" xfId="0" applyFont="1" applyFill="1" applyBorder="1" applyAlignment="1">
      <alignment textRotation="60"/>
    </xf>
    <xf numFmtId="0" fontId="9" fillId="5" borderId="17" xfId="0" applyFont="1" applyFill="1" applyBorder="1" applyAlignment="1">
      <alignment textRotation="60"/>
    </xf>
    <xf numFmtId="0" fontId="7" fillId="5" borderId="18" xfId="0" applyFont="1" applyFill="1" applyBorder="1" applyAlignment="1">
      <alignment textRotation="60"/>
    </xf>
    <xf numFmtId="164" fontId="7" fillId="5" borderId="17" xfId="0" applyNumberFormat="1" applyFont="1" applyFill="1" applyBorder="1" applyAlignment="1">
      <alignment textRotation="60"/>
    </xf>
    <xf numFmtId="0" fontId="0" fillId="0" borderId="24" xfId="0" applyBorder="1"/>
    <xf numFmtId="0" fontId="7" fillId="5" borderId="25" xfId="0" applyFont="1" applyFill="1" applyBorder="1" applyAlignment="1">
      <alignment textRotation="60"/>
    </xf>
    <xf numFmtId="0" fontId="0" fillId="3" borderId="2" xfId="0" applyFill="1" applyBorder="1"/>
    <xf numFmtId="0" fontId="0" fillId="0" borderId="0" xfId="0" applyBorder="1" applyAlignment="1">
      <alignment textRotation="45"/>
    </xf>
    <xf numFmtId="0" fontId="0" fillId="0" borderId="2" xfId="0" applyBorder="1" applyAlignment="1">
      <alignment textRotation="45"/>
    </xf>
    <xf numFmtId="0" fontId="0" fillId="3" borderId="0" xfId="0" applyFill="1" applyAlignment="1"/>
    <xf numFmtId="0" fontId="0" fillId="6" borderId="0" xfId="0" applyFill="1"/>
    <xf numFmtId="0" fontId="0" fillId="6" borderId="0" xfId="0" applyFill="1" applyAlignment="1"/>
    <xf numFmtId="0" fontId="8" fillId="3" borderId="0" xfId="0" applyFont="1" applyFill="1"/>
    <xf numFmtId="0" fontId="0" fillId="3" borderId="0" xfId="0" applyFill="1" applyBorder="1"/>
    <xf numFmtId="0" fontId="0" fillId="6" borderId="0" xfId="0" applyFill="1" applyAlignment="1">
      <alignment horizontal="center" vertical="center"/>
    </xf>
    <xf numFmtId="0" fontId="8" fillId="0" borderId="0" xfId="0" applyFont="1"/>
    <xf numFmtId="0" fontId="18" fillId="0" borderId="0" xfId="0" applyFont="1" applyFill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1" fillId="2" borderId="0" xfId="0" applyFont="1" applyFill="1"/>
    <xf numFmtId="0" fontId="20" fillId="3" borderId="0" xfId="1" applyFont="1" applyFill="1"/>
    <xf numFmtId="0" fontId="8" fillId="0" borderId="0" xfId="0" applyFont="1" applyBorder="1"/>
    <xf numFmtId="0" fontId="24" fillId="0" borderId="0" xfId="0" applyFont="1"/>
    <xf numFmtId="0" fontId="0" fillId="8" borderId="0" xfId="0" applyFill="1"/>
    <xf numFmtId="0" fontId="0" fillId="0" borderId="0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53" xfId="0" applyFill="1" applyBorder="1"/>
    <xf numFmtId="0" fontId="1" fillId="0" borderId="0" xfId="0" applyFont="1" applyAlignment="1">
      <alignment horizontal="right"/>
    </xf>
    <xf numFmtId="0" fontId="7" fillId="5" borderId="3" xfId="0" applyFont="1" applyFill="1" applyBorder="1" applyAlignment="1">
      <alignment textRotation="60"/>
    </xf>
    <xf numFmtId="0" fontId="7" fillId="5" borderId="0" xfId="0" applyFont="1" applyFill="1" applyBorder="1" applyAlignment="1">
      <alignment textRotation="60"/>
    </xf>
    <xf numFmtId="0" fontId="28" fillId="5" borderId="22" xfId="0" applyFont="1" applyFill="1" applyBorder="1" applyAlignment="1">
      <alignment textRotation="60"/>
    </xf>
    <xf numFmtId="0" fontId="28" fillId="5" borderId="17" xfId="0" applyFont="1" applyFill="1" applyBorder="1" applyAlignment="1">
      <alignment textRotation="60"/>
    </xf>
    <xf numFmtId="0" fontId="29" fillId="0" borderId="21" xfId="0" applyFont="1" applyBorder="1"/>
    <xf numFmtId="0" fontId="29" fillId="0" borderId="2" xfId="0" applyFont="1" applyBorder="1"/>
    <xf numFmtId="0" fontId="29" fillId="0" borderId="0" xfId="0" applyFont="1"/>
    <xf numFmtId="0" fontId="28" fillId="5" borderId="17" xfId="0" applyFont="1" applyFill="1" applyBorder="1" applyAlignment="1">
      <alignment horizontal="center" textRotation="60"/>
    </xf>
    <xf numFmtId="0" fontId="28" fillId="5" borderId="18" xfId="0" applyFont="1" applyFill="1" applyBorder="1" applyAlignment="1">
      <alignment horizontal="center" textRotation="60"/>
    </xf>
    <xf numFmtId="0" fontId="29" fillId="0" borderId="2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0" fillId="5" borderId="17" xfId="0" applyFont="1" applyFill="1" applyBorder="1" applyAlignment="1">
      <alignment textRotation="60"/>
    </xf>
    <xf numFmtId="0" fontId="31" fillId="0" borderId="2" xfId="0" applyFont="1" applyBorder="1"/>
    <xf numFmtId="0" fontId="31" fillId="0" borderId="0" xfId="0" applyFont="1"/>
    <xf numFmtId="0" fontId="0" fillId="9" borderId="0" xfId="0" applyFill="1"/>
    <xf numFmtId="0" fontId="0" fillId="10" borderId="0" xfId="0" applyFill="1"/>
    <xf numFmtId="0" fontId="18" fillId="10" borderId="0" xfId="0" applyFont="1" applyFill="1"/>
    <xf numFmtId="0" fontId="32" fillId="2" borderId="0" xfId="0" applyFont="1" applyFill="1"/>
    <xf numFmtId="0" fontId="0" fillId="3" borderId="0" xfId="0" applyFill="1" applyProtection="1">
      <protection hidden="1"/>
    </xf>
    <xf numFmtId="0" fontId="7" fillId="3" borderId="0" xfId="0" applyFont="1" applyFill="1" applyAlignment="1" applyProtection="1">
      <protection hidden="1"/>
    </xf>
    <xf numFmtId="0" fontId="8" fillId="3" borderId="0" xfId="0" applyFont="1" applyFill="1" applyProtection="1">
      <protection hidden="1"/>
    </xf>
    <xf numFmtId="0" fontId="8" fillId="3" borderId="0" xfId="0" applyFont="1" applyFill="1" applyAlignment="1" applyProtection="1">
      <protection hidden="1"/>
    </xf>
    <xf numFmtId="0" fontId="7" fillId="6" borderId="27" xfId="0" applyFont="1" applyFill="1" applyBorder="1" applyAlignment="1" applyProtection="1">
      <alignment vertical="center"/>
      <protection hidden="1"/>
    </xf>
    <xf numFmtId="0" fontId="0" fillId="6" borderId="27" xfId="0" applyFill="1" applyBorder="1" applyAlignment="1" applyProtection="1">
      <alignment vertical="center"/>
      <protection hidden="1"/>
    </xf>
    <xf numFmtId="0" fontId="8" fillId="6" borderId="27" xfId="0" applyFont="1" applyFill="1" applyBorder="1" applyAlignment="1" applyProtection="1">
      <alignment vertical="center"/>
      <protection hidden="1"/>
    </xf>
    <xf numFmtId="0" fontId="0" fillId="6" borderId="1" xfId="0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7" fillId="6" borderId="0" xfId="0" applyFont="1" applyFill="1" applyAlignment="1" applyProtection="1">
      <alignment vertical="center"/>
      <protection hidden="1"/>
    </xf>
    <xf numFmtId="0" fontId="0" fillId="6" borderId="0" xfId="0" applyFill="1" applyProtection="1">
      <protection hidden="1"/>
    </xf>
    <xf numFmtId="0" fontId="25" fillId="3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protection hidden="1"/>
    </xf>
    <xf numFmtId="0" fontId="1" fillId="3" borderId="0" xfId="0" applyFont="1" applyFill="1" applyAlignment="1" applyProtection="1">
      <protection hidden="1"/>
    </xf>
    <xf numFmtId="0" fontId="8" fillId="3" borderId="49" xfId="0" applyFont="1" applyFill="1" applyBorder="1" applyAlignment="1" applyProtection="1">
      <alignment vertical="center"/>
      <protection hidden="1"/>
    </xf>
    <xf numFmtId="0" fontId="0" fillId="3" borderId="49" xfId="0" applyFill="1" applyBorder="1" applyProtection="1">
      <protection hidden="1"/>
    </xf>
    <xf numFmtId="0" fontId="0" fillId="3" borderId="50" xfId="0" applyFill="1" applyBorder="1" applyProtection="1">
      <protection hidden="1"/>
    </xf>
    <xf numFmtId="0" fontId="0" fillId="6" borderId="54" xfId="0" applyFill="1" applyBorder="1" applyProtection="1">
      <protection hidden="1"/>
    </xf>
    <xf numFmtId="0" fontId="21" fillId="6" borderId="54" xfId="0" applyFont="1" applyFill="1" applyBorder="1" applyAlignment="1" applyProtection="1">
      <alignment horizontal="left" vertical="top"/>
      <protection hidden="1"/>
    </xf>
    <xf numFmtId="165" fontId="15" fillId="6" borderId="0" xfId="0" applyNumberFormat="1" applyFont="1" applyFill="1" applyBorder="1" applyAlignment="1" applyProtection="1">
      <alignment horizontal="center" vertical="center"/>
      <protection hidden="1"/>
    </xf>
    <xf numFmtId="0" fontId="21" fillId="6" borderId="0" xfId="0" applyFont="1" applyFill="1" applyBorder="1" applyAlignment="1" applyProtection="1">
      <alignment horizontal="left" vertical="top"/>
      <protection hidden="1"/>
    </xf>
    <xf numFmtId="166" fontId="3" fillId="6" borderId="0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165" fontId="16" fillId="6" borderId="55" xfId="0" applyNumberFormat="1" applyFont="1" applyFill="1" applyBorder="1" applyAlignment="1" applyProtection="1">
      <alignment horizontal="center" vertical="center"/>
      <protection hidden="1"/>
    </xf>
    <xf numFmtId="0" fontId="7" fillId="6" borderId="47" xfId="0" applyFont="1" applyFill="1" applyBorder="1" applyAlignment="1" applyProtection="1">
      <alignment horizontal="right" vertical="center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0" fillId="3" borderId="35" xfId="0" applyFill="1" applyBorder="1" applyProtection="1"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13" fillId="3" borderId="35" xfId="0" applyFont="1" applyFill="1" applyBorder="1" applyAlignment="1" applyProtection="1">
      <alignment vertical="center"/>
      <protection hidden="1"/>
    </xf>
    <xf numFmtId="0" fontId="0" fillId="0" borderId="34" xfId="0" applyBorder="1" applyAlignment="1" applyProtection="1">
      <protection hidden="1"/>
    </xf>
    <xf numFmtId="0" fontId="0" fillId="0" borderId="35" xfId="0" applyBorder="1" applyAlignment="1" applyProtection="1">
      <protection hidden="1"/>
    </xf>
    <xf numFmtId="0" fontId="0" fillId="0" borderId="35" xfId="0" applyBorder="1" applyProtection="1">
      <protection hidden="1"/>
    </xf>
    <xf numFmtId="0" fontId="0" fillId="0" borderId="36" xfId="0" applyBorder="1" applyAlignme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protection hidden="1"/>
    </xf>
    <xf numFmtId="0" fontId="8" fillId="6" borderId="0" xfId="0" applyFont="1" applyFill="1" applyProtection="1">
      <protection hidden="1"/>
    </xf>
    <xf numFmtId="0" fontId="8" fillId="6" borderId="0" xfId="0" applyFont="1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17" fillId="3" borderId="0" xfId="1" applyFont="1" applyFill="1" applyProtection="1">
      <protection hidden="1"/>
    </xf>
    <xf numFmtId="0" fontId="11" fillId="0" borderId="7" xfId="0" applyFont="1" applyFill="1" applyBorder="1"/>
    <xf numFmtId="0" fontId="0" fillId="0" borderId="0" xfId="0"/>
    <xf numFmtId="0" fontId="0" fillId="0" borderId="7" xfId="0" applyBorder="1"/>
    <xf numFmtId="0" fontId="24" fillId="0" borderId="0" xfId="0" applyFont="1" applyFill="1"/>
    <xf numFmtId="0" fontId="11" fillId="0" borderId="0" xfId="0" applyFont="1" applyFill="1"/>
    <xf numFmtId="0" fontId="0" fillId="0" borderId="0" xfId="0" applyFont="1" applyFill="1"/>
    <xf numFmtId="0" fontId="0" fillId="0" borderId="7" xfId="0" applyFont="1" applyFill="1" applyBorder="1"/>
    <xf numFmtId="0" fontId="0" fillId="0" borderId="14" xfId="0" applyFont="1" applyFill="1" applyBorder="1"/>
    <xf numFmtId="0" fontId="0" fillId="0" borderId="0" xfId="0" applyFont="1" applyFill="1" applyBorder="1"/>
    <xf numFmtId="0" fontId="0" fillId="0" borderId="3" xfId="0" applyFont="1" applyFill="1" applyBorder="1"/>
    <xf numFmtId="0" fontId="0" fillId="0" borderId="14" xfId="0" applyFont="1" applyFill="1" applyBorder="1" applyAlignment="1">
      <alignment wrapText="1"/>
    </xf>
    <xf numFmtId="49" fontId="0" fillId="0" borderId="14" xfId="0" applyNumberFormat="1" applyFont="1" applyFill="1" applyBorder="1" applyAlignment="1">
      <alignment wrapText="1"/>
    </xf>
    <xf numFmtId="0" fontId="38" fillId="0" borderId="7" xfId="1" applyFont="1" applyFill="1" applyBorder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4" xfId="0" applyFont="1" applyFill="1" applyBorder="1"/>
    <xf numFmtId="0" fontId="0" fillId="0" borderId="7" xfId="0" applyFont="1" applyFill="1" applyBorder="1" applyAlignment="1">
      <alignment wrapText="1"/>
    </xf>
    <xf numFmtId="0" fontId="0" fillId="9" borderId="4" xfId="0" applyFill="1" applyBorder="1"/>
    <xf numFmtId="0" fontId="0" fillId="9" borderId="4" xfId="0" applyFill="1" applyBorder="1" applyAlignment="1">
      <alignment horizontal="right"/>
    </xf>
    <xf numFmtId="0" fontId="0" fillId="0" borderId="7" xfId="0" applyFont="1" applyFill="1" applyBorder="1" applyAlignment="1">
      <alignment vertical="center"/>
    </xf>
    <xf numFmtId="0" fontId="0" fillId="0" borderId="0" xfId="0" applyBorder="1" applyAlignment="1">
      <alignment horizontal="right"/>
    </xf>
    <xf numFmtId="0" fontId="0" fillId="9" borderId="0" xfId="0" applyFont="1" applyFill="1" applyBorder="1"/>
    <xf numFmtId="0" fontId="0" fillId="9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0" fillId="9" borderId="0" xfId="0" applyFont="1" applyFill="1" applyBorder="1" applyAlignment="1">
      <alignment horizontal="left" vertical="center" readingOrder="1"/>
    </xf>
    <xf numFmtId="2" fontId="0" fillId="9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 readingOrder="1"/>
    </xf>
    <xf numFmtId="0" fontId="0" fillId="9" borderId="0" xfId="0" applyFont="1" applyFill="1" applyBorder="1" applyAlignment="1">
      <alignment horizontal="right" vertical="center"/>
    </xf>
    <xf numFmtId="0" fontId="0" fillId="8" borderId="0" xfId="0" applyFill="1" applyBorder="1"/>
    <xf numFmtId="0" fontId="0" fillId="8" borderId="0" xfId="0" applyFill="1" applyBorder="1" applyAlignment="1">
      <alignment horizontal="right"/>
    </xf>
    <xf numFmtId="0" fontId="0" fillId="8" borderId="0" xfId="0" applyFill="1" applyBorder="1" applyAlignment="1">
      <alignment horizontal="left"/>
    </xf>
    <xf numFmtId="0" fontId="1" fillId="8" borderId="0" xfId="0" applyFont="1" applyFill="1" applyBorder="1"/>
    <xf numFmtId="0" fontId="0" fillId="0" borderId="7" xfId="0" quotePrefix="1" applyFont="1" applyFill="1" applyBorder="1" applyAlignment="1">
      <alignment wrapText="1"/>
    </xf>
    <xf numFmtId="15" fontId="0" fillId="0" borderId="7" xfId="0" quotePrefix="1" applyNumberFormat="1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readingOrder="1"/>
    </xf>
    <xf numFmtId="0" fontId="0" fillId="11" borderId="7" xfId="0" applyFont="1" applyFill="1" applyBorder="1"/>
    <xf numFmtId="0" fontId="0" fillId="12" borderId="58" xfId="0" applyFont="1" applyFill="1" applyBorder="1"/>
    <xf numFmtId="0" fontId="0" fillId="12" borderId="58" xfId="0" quotePrefix="1" applyFont="1" applyFill="1" applyBorder="1"/>
    <xf numFmtId="0" fontId="0" fillId="12" borderId="58" xfId="0" quotePrefix="1" applyFont="1" applyFill="1" applyBorder="1" applyAlignment="1">
      <alignment horizontal="right"/>
    </xf>
    <xf numFmtId="0" fontId="0" fillId="12" borderId="7" xfId="0" quotePrefix="1" applyFont="1" applyFill="1" applyBorder="1"/>
    <xf numFmtId="0" fontId="0" fillId="12" borderId="7" xfId="0" applyFont="1" applyFill="1" applyBorder="1"/>
    <xf numFmtId="0" fontId="0" fillId="12" borderId="7" xfId="0" applyFill="1" applyBorder="1"/>
    <xf numFmtId="0" fontId="0" fillId="12" borderId="58" xfId="0" applyFill="1" applyBorder="1"/>
    <xf numFmtId="0" fontId="37" fillId="11" borderId="7" xfId="0" applyFont="1" applyFill="1" applyBorder="1"/>
    <xf numFmtId="0" fontId="0" fillId="0" borderId="60" xfId="0" applyBorder="1"/>
    <xf numFmtId="0" fontId="0" fillId="0" borderId="59" xfId="0" applyFont="1" applyFill="1" applyBorder="1"/>
    <xf numFmtId="0" fontId="0" fillId="12" borderId="61" xfId="0" applyFont="1" applyFill="1" applyBorder="1"/>
    <xf numFmtId="0" fontId="0" fillId="6" borderId="46" xfId="0" applyFill="1" applyBorder="1" applyProtection="1">
      <protection hidden="1"/>
    </xf>
    <xf numFmtId="0" fontId="0" fillId="6" borderId="46" xfId="0" applyFill="1" applyBorder="1" applyAlignment="1" applyProtection="1">
      <alignment vertical="center"/>
      <protection hidden="1"/>
    </xf>
    <xf numFmtId="0" fontId="0" fillId="0" borderId="0" xfId="0" applyBorder="1" applyAlignment="1" applyProtection="1">
      <protection hidden="1"/>
    </xf>
    <xf numFmtId="0" fontId="0" fillId="0" borderId="57" xfId="0" applyBorder="1" applyAlignment="1" applyProtection="1">
      <protection hidden="1"/>
    </xf>
    <xf numFmtId="0" fontId="7" fillId="5" borderId="64" xfId="0" applyFont="1" applyFill="1" applyBorder="1" applyAlignment="1">
      <alignment textRotation="60"/>
    </xf>
    <xf numFmtId="0" fontId="0" fillId="0" borderId="73" xfId="0" applyBorder="1"/>
    <xf numFmtId="164" fontId="0" fillId="0" borderId="73" xfId="0" applyNumberFormat="1" applyBorder="1"/>
    <xf numFmtId="0" fontId="0" fillId="0" borderId="24" xfId="0" applyFill="1" applyBorder="1"/>
    <xf numFmtId="1" fontId="0" fillId="0" borderId="2" xfId="0" applyNumberFormat="1" applyFill="1" applyBorder="1"/>
    <xf numFmtId="0" fontId="31" fillId="0" borderId="2" xfId="0" applyFont="1" applyFill="1" applyBorder="1"/>
    <xf numFmtId="0" fontId="31" fillId="0" borderId="0" xfId="0" applyFont="1" applyFill="1"/>
    <xf numFmtId="0" fontId="29" fillId="0" borderId="22" xfId="0" applyFont="1" applyFill="1" applyBorder="1"/>
    <xf numFmtId="0" fontId="29" fillId="0" borderId="18" xfId="0" applyFont="1" applyFill="1" applyBorder="1"/>
    <xf numFmtId="0" fontId="29" fillId="0" borderId="17" xfId="0" applyFont="1" applyFill="1" applyBorder="1"/>
    <xf numFmtId="0" fontId="29" fillId="0" borderId="17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8" xfId="0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17" xfId="0" applyFont="1" applyFill="1" applyBorder="1"/>
    <xf numFmtId="164" fontId="0" fillId="0" borderId="17" xfId="0" applyNumberFormat="1" applyFont="1" applyFill="1" applyBorder="1"/>
    <xf numFmtId="164" fontId="0" fillId="0" borderId="18" xfId="0" applyNumberFormat="1" applyFont="1" applyFill="1" applyBorder="1"/>
    <xf numFmtId="0" fontId="0" fillId="0" borderId="64" xfId="0" applyFont="1" applyFill="1" applyBorder="1"/>
    <xf numFmtId="0" fontId="0" fillId="0" borderId="2" xfId="0" applyFont="1" applyFill="1" applyBorder="1"/>
    <xf numFmtId="0" fontId="29" fillId="0" borderId="21" xfId="0" applyFont="1" applyFill="1" applyBorder="1"/>
    <xf numFmtId="0" fontId="29" fillId="0" borderId="0" xfId="0" applyFont="1" applyFill="1" applyBorder="1"/>
    <xf numFmtId="0" fontId="29" fillId="0" borderId="2" xfId="0" applyFont="1" applyFill="1" applyBorder="1"/>
    <xf numFmtId="0" fontId="29" fillId="0" borderId="2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164" fontId="0" fillId="0" borderId="2" xfId="0" applyNumberFormat="1" applyFont="1" applyFill="1" applyBorder="1"/>
    <xf numFmtId="164" fontId="0" fillId="0" borderId="0" xfId="0" applyNumberFormat="1" applyFont="1" applyFill="1" applyBorder="1"/>
    <xf numFmtId="0" fontId="0" fillId="0" borderId="66" xfId="0" applyFont="1" applyFill="1" applyBorder="1"/>
    <xf numFmtId="0" fontId="29" fillId="0" borderId="10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9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/>
    <xf numFmtId="164" fontId="0" fillId="0" borderId="10" xfId="0" applyNumberFormat="1" applyFont="1" applyFill="1" applyBorder="1"/>
    <xf numFmtId="164" fontId="0" fillId="0" borderId="9" xfId="0" applyNumberFormat="1" applyFont="1" applyFill="1" applyBorder="1"/>
    <xf numFmtId="0" fontId="0" fillId="0" borderId="68" xfId="0" applyFont="1" applyFill="1" applyBorder="1"/>
    <xf numFmtId="0" fontId="0" fillId="0" borderId="26" xfId="0" applyFill="1" applyBorder="1"/>
    <xf numFmtId="0" fontId="29" fillId="0" borderId="19" xfId="0" applyFont="1" applyFill="1" applyBorder="1" applyAlignment="1">
      <alignment horizontal="center"/>
    </xf>
    <xf numFmtId="0" fontId="29" fillId="0" borderId="20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0" xfId="0" applyFont="1" applyFill="1" applyBorder="1"/>
    <xf numFmtId="0" fontId="0" fillId="0" borderId="19" xfId="0" applyFont="1" applyFill="1" applyBorder="1" applyAlignment="1">
      <alignment horizontal="center"/>
    </xf>
    <xf numFmtId="0" fontId="0" fillId="0" borderId="19" xfId="0" applyFont="1" applyFill="1" applyBorder="1"/>
    <xf numFmtId="164" fontId="0" fillId="0" borderId="19" xfId="0" applyNumberFormat="1" applyFont="1" applyFill="1" applyBorder="1"/>
    <xf numFmtId="164" fontId="0" fillId="0" borderId="20" xfId="0" applyNumberFormat="1" applyFont="1" applyFill="1" applyBorder="1"/>
    <xf numFmtId="0" fontId="0" fillId="0" borderId="70" xfId="0" applyFont="1" applyFill="1" applyBorder="1"/>
    <xf numFmtId="0" fontId="29" fillId="0" borderId="74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74" xfId="0" applyFont="1" applyFill="1" applyBorder="1"/>
    <xf numFmtId="0" fontId="0" fillId="0" borderId="74" xfId="0" applyFont="1" applyFill="1" applyBorder="1" applyAlignment="1">
      <alignment horizontal="center"/>
    </xf>
    <xf numFmtId="164" fontId="0" fillId="0" borderId="74" xfId="0" applyNumberFormat="1" applyFont="1" applyFill="1" applyBorder="1"/>
    <xf numFmtId="164" fontId="0" fillId="0" borderId="4" xfId="0" applyNumberFormat="1" applyFont="1" applyFill="1" applyBorder="1"/>
    <xf numFmtId="0" fontId="0" fillId="0" borderId="76" xfId="0" applyFont="1" applyFill="1" applyBorder="1"/>
    <xf numFmtId="0" fontId="1" fillId="0" borderId="2" xfId="0" applyFont="1" applyFill="1" applyBorder="1"/>
    <xf numFmtId="0" fontId="29" fillId="0" borderId="23" xfId="0" applyFont="1" applyFill="1" applyBorder="1"/>
    <xf numFmtId="0" fontId="29" fillId="0" borderId="15" xfId="0" applyFont="1" applyFill="1" applyBorder="1"/>
    <xf numFmtId="0" fontId="29" fillId="0" borderId="16" xfId="0" applyFont="1" applyFill="1" applyBorder="1"/>
    <xf numFmtId="0" fontId="29" fillId="0" borderId="6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/>
    <xf numFmtId="164" fontId="0" fillId="0" borderId="6" xfId="0" applyNumberFormat="1" applyFont="1" applyFill="1" applyBorder="1"/>
    <xf numFmtId="164" fontId="0" fillId="0" borderId="5" xfId="0" applyNumberFormat="1" applyFont="1" applyFill="1" applyBorder="1"/>
    <xf numFmtId="0" fontId="0" fillId="0" borderId="72" xfId="0" applyFont="1" applyFill="1" applyBorder="1"/>
    <xf numFmtId="0" fontId="1" fillId="0" borderId="6" xfId="0" applyFont="1" applyFill="1" applyBorder="1"/>
    <xf numFmtId="0" fontId="0" fillId="0" borderId="4" xfId="0" applyFill="1" applyBorder="1"/>
    <xf numFmtId="1" fontId="0" fillId="0" borderId="74" xfId="0" applyNumberFormat="1" applyFill="1" applyBorder="1"/>
    <xf numFmtId="0" fontId="31" fillId="0" borderId="74" xfId="0" applyFont="1" applyFill="1" applyBorder="1"/>
    <xf numFmtId="0" fontId="31" fillId="0" borderId="4" xfId="0" applyFont="1" applyFill="1" applyBorder="1"/>
    <xf numFmtId="0" fontId="29" fillId="0" borderId="78" xfId="0" applyFont="1" applyFill="1" applyBorder="1"/>
    <xf numFmtId="0" fontId="29" fillId="0" borderId="4" xfId="0" applyFont="1" applyFill="1" applyBorder="1"/>
    <xf numFmtId="0" fontId="29" fillId="0" borderId="74" xfId="0" applyFont="1" applyFill="1" applyBorder="1"/>
    <xf numFmtId="0" fontId="0" fillId="0" borderId="77" xfId="0" applyFont="1" applyFill="1" applyBorder="1"/>
    <xf numFmtId="0" fontId="0" fillId="0" borderId="2" xfId="0" applyNumberFormat="1" applyFont="1" applyFill="1" applyBorder="1"/>
    <xf numFmtId="0" fontId="0" fillId="0" borderId="10" xfId="0" applyNumberFormat="1" applyFont="1" applyFill="1" applyBorder="1"/>
    <xf numFmtId="0" fontId="0" fillId="0" borderId="19" xfId="0" applyNumberFormat="1" applyFont="1" applyFill="1" applyBorder="1"/>
    <xf numFmtId="0" fontId="7" fillId="17" borderId="17" xfId="0" applyNumberFormat="1" applyFont="1" applyFill="1" applyBorder="1" applyAlignment="1">
      <alignment textRotation="60"/>
    </xf>
    <xf numFmtId="0" fontId="0" fillId="15" borderId="17" xfId="0" applyNumberFormat="1" applyFont="1" applyFill="1" applyBorder="1"/>
    <xf numFmtId="0" fontId="0" fillId="15" borderId="2" xfId="0" applyNumberFormat="1" applyFont="1" applyFill="1" applyBorder="1"/>
    <xf numFmtId="0" fontId="0" fillId="15" borderId="10" xfId="0" applyNumberFormat="1" applyFont="1" applyFill="1" applyBorder="1"/>
    <xf numFmtId="0" fontId="0" fillId="15" borderId="19" xfId="0" applyNumberFormat="1" applyFont="1" applyFill="1" applyBorder="1"/>
    <xf numFmtId="0" fontId="0" fillId="15" borderId="74" xfId="0" applyNumberFormat="1" applyFont="1" applyFill="1" applyBorder="1"/>
    <xf numFmtId="0" fontId="0" fillId="15" borderId="6" xfId="0" applyNumberFormat="1" applyFont="1" applyFill="1" applyBorder="1"/>
    <xf numFmtId="0" fontId="0" fillId="15" borderId="2" xfId="0" applyNumberFormat="1" applyFill="1" applyBorder="1"/>
    <xf numFmtId="0" fontId="7" fillId="5" borderId="63" xfId="0" applyFont="1" applyFill="1" applyBorder="1" applyAlignment="1">
      <alignment horizontal="center" textRotation="60"/>
    </xf>
    <xf numFmtId="0" fontId="7" fillId="5" borderId="18" xfId="0" applyNumberFormat="1" applyFont="1" applyFill="1" applyBorder="1" applyAlignment="1">
      <alignment horizontal="center" textRotation="60"/>
    </xf>
    <xf numFmtId="164" fontId="1" fillId="0" borderId="63" xfId="0" applyNumberFormat="1" applyFont="1" applyFill="1" applyBorder="1" applyAlignment="1">
      <alignment horizontal="center"/>
    </xf>
    <xf numFmtId="0" fontId="0" fillId="0" borderId="18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164" fontId="1" fillId="0" borderId="65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64" fontId="1" fillId="0" borderId="67" xfId="0" applyNumberFormat="1" applyFont="1" applyFill="1" applyBorder="1" applyAlignment="1">
      <alignment horizontal="center"/>
    </xf>
    <xf numFmtId="0" fontId="0" fillId="0" borderId="9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164" fontId="1" fillId="0" borderId="69" xfId="0" applyNumberFormat="1" applyFont="1" applyFill="1" applyBorder="1" applyAlignment="1">
      <alignment horizontal="center"/>
    </xf>
    <xf numFmtId="0" fontId="0" fillId="0" borderId="20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164" fontId="1" fillId="0" borderId="75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164" fontId="1" fillId="0" borderId="71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4" fontId="1" fillId="0" borderId="65" xfId="0" applyNumberFormat="1" applyFont="1" applyBorder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0" fillId="0" borderId="73" xfId="0" applyFont="1" applyFill="1" applyBorder="1"/>
    <xf numFmtId="0" fontId="0" fillId="0" borderId="79" xfId="0" applyNumberFormat="1" applyFont="1" applyFill="1" applyBorder="1" applyAlignment="1">
      <alignment horizontal="center"/>
    </xf>
    <xf numFmtId="0" fontId="0" fillId="0" borderId="37" xfId="0" applyNumberFormat="1" applyFont="1" applyFill="1" applyBorder="1" applyAlignment="1">
      <alignment horizontal="center"/>
    </xf>
    <xf numFmtId="0" fontId="0" fillId="0" borderId="0" xfId="0" applyNumberFormat="1" applyFill="1" applyBorder="1"/>
    <xf numFmtId="0" fontId="31" fillId="0" borderId="0" xfId="0" applyFont="1" applyFill="1" applyBorder="1"/>
    <xf numFmtId="0" fontId="7" fillId="5" borderId="80" xfId="0" applyFont="1" applyFill="1" applyBorder="1" applyAlignment="1">
      <alignment horizontal="center" textRotation="60"/>
    </xf>
    <xf numFmtId="0" fontId="0" fillId="0" borderId="80" xfId="0" applyFont="1" applyFill="1" applyBorder="1" applyAlignment="1">
      <alignment horizontal="center"/>
    </xf>
    <xf numFmtId="0" fontId="0" fillId="0" borderId="81" xfId="0" applyFont="1" applyFill="1" applyBorder="1" applyAlignment="1">
      <alignment horizontal="center"/>
    </xf>
    <xf numFmtId="0" fontId="0" fillId="0" borderId="82" xfId="0" applyFont="1" applyFill="1" applyBorder="1" applyAlignment="1">
      <alignment horizontal="center"/>
    </xf>
    <xf numFmtId="0" fontId="0" fillId="0" borderId="83" xfId="0" applyFont="1" applyFill="1" applyBorder="1" applyAlignment="1">
      <alignment horizontal="center"/>
    </xf>
    <xf numFmtId="0" fontId="0" fillId="0" borderId="84" xfId="0" applyFont="1" applyFill="1" applyBorder="1" applyAlignment="1">
      <alignment horizontal="center"/>
    </xf>
    <xf numFmtId="0" fontId="0" fillId="0" borderId="85" xfId="0" applyFont="1" applyFill="1" applyBorder="1" applyAlignment="1">
      <alignment horizontal="center"/>
    </xf>
    <xf numFmtId="0" fontId="0" fillId="0" borderId="81" xfId="0" applyBorder="1" applyAlignment="1">
      <alignment horizontal="center"/>
    </xf>
    <xf numFmtId="0" fontId="22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left" vertical="center"/>
    </xf>
    <xf numFmtId="0" fontId="0" fillId="0" borderId="86" xfId="0" applyFont="1" applyFill="1" applyBorder="1"/>
    <xf numFmtId="0" fontId="0" fillId="9" borderId="0" xfId="0" applyFill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right"/>
    </xf>
    <xf numFmtId="0" fontId="0" fillId="11" borderId="0" xfId="0" applyFont="1" applyFill="1" applyBorder="1"/>
    <xf numFmtId="0" fontId="0" fillId="16" borderId="3" xfId="0" applyFont="1" applyFill="1" applyBorder="1"/>
    <xf numFmtId="0" fontId="0" fillId="16" borderId="0" xfId="0" applyFont="1" applyFill="1"/>
    <xf numFmtId="0" fontId="24" fillId="4" borderId="31" xfId="0" applyFont="1" applyFill="1" applyBorder="1" applyAlignment="1">
      <alignment horizontal="left" vertical="center"/>
    </xf>
    <xf numFmtId="0" fontId="24" fillId="4" borderId="34" xfId="0" applyFont="1" applyFill="1" applyBorder="1" applyAlignment="1">
      <alignment horizontal="left" vertical="center"/>
    </xf>
    <xf numFmtId="0" fontId="24" fillId="4" borderId="0" xfId="0" applyFont="1" applyFill="1" applyBorder="1" applyAlignment="1">
      <alignment horizontal="left" vertical="center"/>
    </xf>
    <xf numFmtId="0" fontId="24" fillId="4" borderId="32" xfId="0" applyFont="1" applyFill="1" applyBorder="1" applyAlignment="1">
      <alignment horizontal="left" vertical="center"/>
    </xf>
    <xf numFmtId="0" fontId="24" fillId="4" borderId="33" xfId="0" applyFont="1" applyFill="1" applyBorder="1" applyAlignment="1">
      <alignment horizontal="left" vertical="center"/>
    </xf>
    <xf numFmtId="0" fontId="24" fillId="4" borderId="56" xfId="0" applyFont="1" applyFill="1" applyBorder="1" applyAlignment="1">
      <alignment horizontal="left" vertical="center"/>
    </xf>
    <xf numFmtId="0" fontId="24" fillId="4" borderId="57" xfId="0" applyFont="1" applyFill="1" applyBorder="1" applyAlignment="1">
      <alignment horizontal="left" vertical="center"/>
    </xf>
    <xf numFmtId="0" fontId="24" fillId="4" borderId="35" xfId="0" applyFont="1" applyFill="1" applyBorder="1" applyAlignment="1">
      <alignment horizontal="left" vertical="center"/>
    </xf>
    <xf numFmtId="0" fontId="44" fillId="4" borderId="0" xfId="0" applyFont="1" applyFill="1" applyBorder="1" applyAlignment="1">
      <alignment horizontal="left" vertical="center"/>
    </xf>
    <xf numFmtId="0" fontId="1" fillId="0" borderId="0" xfId="0" applyFont="1" applyBorder="1"/>
    <xf numFmtId="0" fontId="44" fillId="4" borderId="57" xfId="0" applyFont="1" applyFill="1" applyBorder="1" applyAlignment="1">
      <alignment horizontal="right" vertical="center"/>
    </xf>
    <xf numFmtId="0" fontId="1" fillId="9" borderId="2" xfId="0" applyNumberFormat="1" applyFont="1" applyFill="1" applyBorder="1" applyAlignment="1">
      <alignment horizontal="right"/>
    </xf>
    <xf numFmtId="0" fontId="0" fillId="9" borderId="0" xfId="0" applyNumberFormat="1" applyFill="1" applyAlignment="1">
      <alignment horizontal="center"/>
    </xf>
    <xf numFmtId="0" fontId="1" fillId="9" borderId="1" xfId="0" applyNumberFormat="1" applyFont="1" applyFill="1" applyBorder="1" applyAlignment="1">
      <alignment horizontal="left"/>
    </xf>
    <xf numFmtId="0" fontId="0" fillId="12" borderId="0" xfId="0" applyFont="1" applyFill="1"/>
    <xf numFmtId="0" fontId="0" fillId="12" borderId="0" xfId="0" applyFont="1" applyFill="1" applyBorder="1"/>
    <xf numFmtId="0" fontId="0" fillId="12" borderId="3" xfId="0" applyFont="1" applyFill="1" applyBorder="1"/>
    <xf numFmtId="0" fontId="45" fillId="0" borderId="0" xfId="0" applyFont="1"/>
    <xf numFmtId="0" fontId="0" fillId="0" borderId="7" xfId="0" applyBorder="1"/>
    <xf numFmtId="0" fontId="0" fillId="0" borderId="7" xfId="0" applyBorder="1"/>
    <xf numFmtId="0" fontId="0" fillId="0" borderId="7" xfId="0" applyBorder="1"/>
    <xf numFmtId="0" fontId="0" fillId="0" borderId="7" xfId="0" applyBorder="1"/>
    <xf numFmtId="0" fontId="0" fillId="0" borderId="7" xfId="0" applyBorder="1"/>
    <xf numFmtId="0" fontId="0" fillId="0" borderId="7" xfId="0" applyFont="1" applyFill="1" applyBorder="1"/>
    <xf numFmtId="0" fontId="0" fillId="0" borderId="7" xfId="0" applyBorder="1"/>
    <xf numFmtId="0" fontId="0" fillId="18" borderId="0" xfId="0" applyFill="1"/>
    <xf numFmtId="0" fontId="0" fillId="0" borderId="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4" xfId="0" applyBorder="1" applyProtection="1">
      <protection locked="0"/>
    </xf>
    <xf numFmtId="0" fontId="8" fillId="6" borderId="46" xfId="0" applyFont="1" applyFill="1" applyBorder="1" applyAlignment="1" applyProtection="1">
      <alignment horizontal="right" vertical="center"/>
      <protection hidden="1"/>
    </xf>
    <xf numFmtId="0" fontId="7" fillId="6" borderId="46" xfId="0" applyFont="1" applyFill="1" applyBorder="1" applyAlignment="1" applyProtection="1">
      <alignment horizontal="left" vertical="center"/>
      <protection hidden="1"/>
    </xf>
    <xf numFmtId="0" fontId="1" fillId="0" borderId="0" xfId="1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49" fontId="5" fillId="0" borderId="0" xfId="0" applyNumberFormat="1" applyFont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165" fontId="3" fillId="4" borderId="10" xfId="0" applyNumberFormat="1" applyFont="1" applyFill="1" applyBorder="1" applyAlignment="1" applyProtection="1">
      <alignment horizontal="center" vertical="center"/>
      <protection locked="0" hidden="1"/>
    </xf>
    <xf numFmtId="165" fontId="3" fillId="4" borderId="9" xfId="0" applyNumberFormat="1" applyFont="1" applyFill="1" applyBorder="1" applyAlignment="1" applyProtection="1">
      <alignment horizontal="center" vertical="center"/>
      <protection locked="0" hidden="1"/>
    </xf>
    <xf numFmtId="165" fontId="3" fillId="4" borderId="37" xfId="0" applyNumberFormat="1" applyFont="1" applyFill="1" applyBorder="1" applyAlignment="1" applyProtection="1">
      <alignment horizontal="center" vertical="center"/>
      <protection locked="0" hidden="1"/>
    </xf>
    <xf numFmtId="0" fontId="22" fillId="3" borderId="32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4" fillId="4" borderId="57" xfId="0" applyFont="1" applyFill="1" applyBorder="1" applyAlignment="1">
      <alignment horizontal="center" vertical="center"/>
    </xf>
    <xf numFmtId="0" fontId="24" fillId="4" borderId="35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0" fillId="0" borderId="56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hidden="1"/>
    </xf>
    <xf numFmtId="0" fontId="12" fillId="6" borderId="46" xfId="0" applyFont="1" applyFill="1" applyBorder="1" applyAlignment="1" applyProtection="1">
      <alignment horizontal="right" vertical="center" textRotation="90"/>
      <protection hidden="1"/>
    </xf>
    <xf numFmtId="0" fontId="12" fillId="6" borderId="0" xfId="0" applyFont="1" applyFill="1" applyAlignment="1" applyProtection="1">
      <alignment horizontal="right" vertical="center" textRotation="90"/>
      <protection hidden="1"/>
    </xf>
    <xf numFmtId="0" fontId="1" fillId="0" borderId="31" xfId="0" applyFont="1" applyFill="1" applyBorder="1" applyAlignment="1" applyProtection="1">
      <alignment horizontal="left"/>
      <protection hidden="1"/>
    </xf>
    <xf numFmtId="0" fontId="1" fillId="0" borderId="32" xfId="0" applyFont="1" applyFill="1" applyBorder="1" applyAlignment="1" applyProtection="1">
      <alignment horizontal="left"/>
      <protection hidden="1"/>
    </xf>
    <xf numFmtId="0" fontId="1" fillId="0" borderId="33" xfId="0" applyFont="1" applyFill="1" applyBorder="1" applyAlignment="1" applyProtection="1">
      <alignment horizontal="left"/>
      <protection hidden="1"/>
    </xf>
    <xf numFmtId="0" fontId="26" fillId="4" borderId="52" xfId="1" applyFont="1" applyFill="1" applyBorder="1" applyAlignment="1" applyProtection="1">
      <alignment horizontal="center" vertical="center"/>
      <protection hidden="1"/>
    </xf>
    <xf numFmtId="0" fontId="26" fillId="4" borderId="51" xfId="1" applyFont="1" applyFill="1" applyBorder="1" applyAlignment="1" applyProtection="1">
      <alignment horizontal="center" vertical="center"/>
      <protection hidden="1"/>
    </xf>
    <xf numFmtId="166" fontId="3" fillId="4" borderId="10" xfId="0" applyNumberFormat="1" applyFont="1" applyFill="1" applyBorder="1" applyAlignment="1" applyProtection="1">
      <alignment horizontal="center" vertical="center"/>
      <protection locked="0" hidden="1"/>
    </xf>
    <xf numFmtId="166" fontId="3" fillId="4" borderId="9" xfId="0" applyNumberFormat="1" applyFont="1" applyFill="1" applyBorder="1" applyAlignment="1" applyProtection="1">
      <alignment horizontal="center" vertical="center"/>
      <protection locked="0" hidden="1"/>
    </xf>
    <xf numFmtId="166" fontId="3" fillId="4" borderId="37" xfId="0" applyNumberFormat="1" applyFont="1" applyFill="1" applyBorder="1" applyAlignment="1" applyProtection="1">
      <alignment horizontal="center" vertical="center"/>
      <protection locked="0" hidden="1"/>
    </xf>
    <xf numFmtId="0" fontId="8" fillId="6" borderId="46" xfId="0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Alignment="1" applyProtection="1">
      <alignment horizontal="center" vertical="center"/>
      <protection hidden="1"/>
    </xf>
    <xf numFmtId="0" fontId="33" fillId="3" borderId="0" xfId="0" applyFont="1" applyFill="1" applyAlignment="1" applyProtection="1">
      <alignment horizontal="right" wrapText="1"/>
      <protection hidden="1"/>
    </xf>
    <xf numFmtId="0" fontId="12" fillId="6" borderId="0" xfId="0" applyFont="1" applyFill="1" applyBorder="1" applyAlignment="1" applyProtection="1">
      <alignment horizontal="left" vertical="center" wrapText="1"/>
      <protection hidden="1"/>
    </xf>
    <xf numFmtId="0" fontId="12" fillId="6" borderId="54" xfId="0" applyFont="1" applyFill="1" applyBorder="1" applyAlignment="1" applyProtection="1">
      <alignment horizontal="left" vertical="center" wrapText="1"/>
      <protection hidden="1"/>
    </xf>
    <xf numFmtId="0" fontId="2" fillId="7" borderId="7" xfId="0" applyFont="1" applyFill="1" applyBorder="1" applyAlignment="1" applyProtection="1">
      <alignment horizontal="center" vertical="center"/>
      <protection locked="0" hidden="1"/>
    </xf>
    <xf numFmtId="0" fontId="2" fillId="4" borderId="7" xfId="0" applyFont="1" applyFill="1" applyBorder="1" applyAlignment="1" applyProtection="1">
      <alignment horizontal="center" vertical="center"/>
      <protection locked="0" hidden="1"/>
    </xf>
    <xf numFmtId="165" fontId="15" fillId="6" borderId="54" xfId="0" applyNumberFormat="1" applyFont="1" applyFill="1" applyBorder="1" applyAlignment="1" applyProtection="1">
      <alignment horizontal="center" vertical="center"/>
      <protection hidden="1"/>
    </xf>
    <xf numFmtId="0" fontId="12" fillId="3" borderId="4" xfId="0" applyFont="1" applyFill="1" applyBorder="1" applyAlignment="1" applyProtection="1">
      <alignment horizontal="center"/>
      <protection hidden="1"/>
    </xf>
    <xf numFmtId="0" fontId="6" fillId="0" borderId="27" xfId="1" applyFont="1" applyBorder="1" applyAlignment="1" applyProtection="1">
      <alignment horizontal="center" vertical="center"/>
      <protection hidden="1"/>
    </xf>
    <xf numFmtId="0" fontId="1" fillId="0" borderId="27" xfId="1" applyFont="1" applyBorder="1" applyAlignment="1" applyProtection="1">
      <alignment horizontal="center" vertical="center"/>
      <protection hidden="1"/>
    </xf>
    <xf numFmtId="166" fontId="3" fillId="6" borderId="54" xfId="0" applyNumberFormat="1" applyFont="1" applyFill="1" applyBorder="1" applyAlignment="1" applyProtection="1">
      <alignment horizontal="center" vertical="center"/>
      <protection hidden="1"/>
    </xf>
    <xf numFmtId="0" fontId="12" fillId="6" borderId="0" xfId="0" applyFont="1" applyFill="1" applyAlignment="1" applyProtection="1">
      <alignment horizontal="left" vertical="center"/>
      <protection hidden="1"/>
    </xf>
    <xf numFmtId="0" fontId="12" fillId="6" borderId="1" xfId="0" applyFont="1" applyFill="1" applyBorder="1" applyAlignment="1" applyProtection="1">
      <alignment horizontal="left" vertical="center"/>
      <protection hidden="1"/>
    </xf>
    <xf numFmtId="0" fontId="12" fillId="6" borderId="0" xfId="0" applyFont="1" applyFill="1" applyBorder="1" applyAlignment="1" applyProtection="1">
      <alignment horizontal="left" vertical="center"/>
      <protection hidden="1"/>
    </xf>
    <xf numFmtId="165" fontId="27" fillId="6" borderId="55" xfId="0" applyNumberFormat="1" applyFont="1" applyFill="1" applyBorder="1" applyAlignment="1" applyProtection="1">
      <alignment horizontal="center" vertical="center"/>
      <protection hidden="1"/>
    </xf>
    <xf numFmtId="0" fontId="25" fillId="3" borderId="0" xfId="0" applyFont="1" applyFill="1" applyAlignment="1" applyProtection="1">
      <alignment horizontal="center" vertical="center"/>
      <protection hidden="1"/>
    </xf>
    <xf numFmtId="0" fontId="8" fillId="3" borderId="48" xfId="0" applyFont="1" applyFill="1" applyBorder="1" applyAlignment="1" applyProtection="1">
      <alignment horizontal="center" vertical="center"/>
      <protection hidden="1"/>
    </xf>
    <xf numFmtId="0" fontId="8" fillId="3" borderId="49" xfId="0" applyFont="1" applyFill="1" applyBorder="1" applyAlignment="1" applyProtection="1">
      <alignment horizontal="center" vertical="center"/>
      <protection hidden="1"/>
    </xf>
    <xf numFmtId="0" fontId="19" fillId="0" borderId="27" xfId="1" applyFont="1" applyBorder="1" applyAlignment="1" applyProtection="1">
      <alignment horizontal="left" vertical="center"/>
      <protection hidden="1"/>
    </xf>
    <xf numFmtId="0" fontId="23" fillId="0" borderId="30" xfId="1" applyFont="1" applyBorder="1" applyAlignment="1" applyProtection="1">
      <alignment horizontal="left" vertical="center"/>
      <protection hidden="1"/>
    </xf>
    <xf numFmtId="0" fontId="23" fillId="0" borderId="51" xfId="1" applyFont="1" applyBorder="1" applyAlignment="1" applyProtection="1">
      <alignment horizontal="left" vertical="center"/>
      <protection hidden="1"/>
    </xf>
    <xf numFmtId="0" fontId="8" fillId="6" borderId="0" xfId="0" applyFont="1" applyFill="1" applyAlignment="1" applyProtection="1">
      <alignment horizontal="center"/>
      <protection hidden="1"/>
    </xf>
    <xf numFmtId="0" fontId="9" fillId="6" borderId="0" xfId="0" applyFont="1" applyFill="1" applyAlignment="1" applyProtection="1">
      <alignment horizontal="center"/>
      <protection hidden="1"/>
    </xf>
  </cellXfs>
  <cellStyles count="8">
    <cellStyle name="Ausgabe 2" xfId="3"/>
    <cellStyle name="Normal 2" xfId="5"/>
    <cellStyle name="Normal 3" xfId="6"/>
    <cellStyle name="Satisfaisant 2" xfId="7"/>
    <cellStyle name="Standard 2" xfId="4"/>
    <cellStyle name="Standard 3" xfId="2"/>
    <cellStyle name="Гиперссылка" xfId="1" builtinId="8"/>
    <cellStyle name="Обычный" xfId="0" builtinId="0"/>
  </cellStyles>
  <dxfs count="62">
    <dxf>
      <border outline="0">
        <left style="thin">
          <color indexed="64"/>
        </left>
      </border>
    </dxf>
    <dxf>
      <font>
        <b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bottom" wrapText="0" indent="0" justifyLastLine="0" shrinkToFit="0" readingOrder="0"/>
      <border outline="0">
        <left/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bottom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bottom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bgColor auto="1"/>
        </patternFill>
      </fill>
      <alignment horizontal="center" vertical="bottom" wrapText="0" indent="0" justifyLastLine="0" shrinkToFit="0" readingOrder="0"/>
      <border diagonalUp="0" diagonalDown="0" outline="0">
        <left style="thick">
          <color rgb="FFFF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numFmt numFmtId="1" formatCode="0"/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ck">
          <color indexed="64"/>
        </right>
        <top/>
        <bottom/>
        <vertical/>
        <horizontal/>
      </border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9"/>
          <bgColor theme="9"/>
        </patternFill>
      </fill>
      <alignment horizontal="general" vertical="bottom" textRotation="6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color theme="1"/>
      </font>
    </dxf>
    <dxf>
      <font>
        <color theme="0" tint="-4.9989318521683403E-2"/>
      </font>
    </dxf>
    <dxf>
      <font>
        <b val="0"/>
        <i val="0"/>
        <color theme="0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</dxfs>
  <tableStyles count="0" defaultTableStyle="TableStyleMedium2" defaultPivotStyle="PivotStyleLight16"/>
  <colors>
    <mruColors>
      <color rgb="FFE1FFE1"/>
      <color rgb="FF008028"/>
      <color rgb="FF00601E"/>
      <color rgb="FFFFFFCC"/>
      <color rgb="FFC09200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Spin" dx="16" fmlaLink="$AW$3" inc="5" max="1400" min="100" page="10" val="700"/>
</file>

<file path=xl/ctrlProps/ctrlProp10.xml><?xml version="1.0" encoding="utf-8"?>
<formControlPr xmlns="http://schemas.microsoft.com/office/spreadsheetml/2009/9/main" objectType="Spin" dx="16" fmlaLink="$BJ$6" inc="5" max="1300" page="10" val="700"/>
</file>

<file path=xl/ctrlProps/ctrlProp2.xml><?xml version="1.0" encoding="utf-8"?>
<formControlPr xmlns="http://schemas.microsoft.com/office/spreadsheetml/2009/9/main" objectType="Spin" dx="16" fmlaLink="$AW$4" inc="5" max="1000" min="150" page="10" val="799"/>
</file>

<file path=xl/ctrlProps/ctrlProp3.xml><?xml version="1.0" encoding="utf-8"?>
<formControlPr xmlns="http://schemas.microsoft.com/office/spreadsheetml/2009/9/main" objectType="Spin" dx="16" fmlaLink="$AW$5" max="100" min="1" page="10" val="19"/>
</file>

<file path=xl/ctrlProps/ctrlProp4.xml><?xml version="1.0" encoding="utf-8"?>
<formControlPr xmlns="http://schemas.microsoft.com/office/spreadsheetml/2009/9/main" objectType="Drop" dropLines="11" dropStyle="combo" dx="16" fmlaLink="Sprache!$B$2" fmlaRange="Sprache!$A$5:$A$18" sel="10" val="3"/>
</file>

<file path=xl/ctrlProps/ctrlProp5.xml><?xml version="1.0" encoding="utf-8"?>
<formControlPr xmlns="http://schemas.microsoft.com/office/spreadsheetml/2009/9/main" objectType="Spin" dx="16" fmlaLink="$BJ$12" inc="50" max="5000" page="10" val="200"/>
</file>

<file path=xl/ctrlProps/ctrlProp6.xml><?xml version="1.0" encoding="utf-8"?>
<formControlPr xmlns="http://schemas.microsoft.com/office/spreadsheetml/2009/9/main" objectType="Spin" dx="16" fmlaLink="$AW$12" max="25" page="10" val="9"/>
</file>

<file path=xl/ctrlProps/ctrlProp7.xml><?xml version="1.0" encoding="utf-8"?>
<formControlPr xmlns="http://schemas.microsoft.com/office/spreadsheetml/2009/9/main" objectType="Radio" checked="Checked" firstButton="1" fmlaLink="Limits!$K$70" lockText="1"/>
</file>

<file path=xl/ctrlProps/ctrlProp8.xml><?xml version="1.0" encoding="utf-8"?>
<formControlPr xmlns="http://schemas.microsoft.com/office/spreadsheetml/2009/9/main" objectType="Drop" dropLines="35" dropStyle="combo" dx="16" fmlaLink="Limits!$C$5" fmlaRange="Limits!$B$6:$B$49" noThreeD="1" sel="4" val="0"/>
</file>

<file path=xl/ctrlProps/ctrlProp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g"/><Relationship Id="rId3" Type="http://schemas.openxmlformats.org/officeDocument/2006/relationships/image" Target="../media/image9.jpg"/><Relationship Id="rId7" Type="http://schemas.openxmlformats.org/officeDocument/2006/relationships/image" Target="../media/image13.jpg"/><Relationship Id="rId12" Type="http://schemas.openxmlformats.org/officeDocument/2006/relationships/image" Target="../media/image18.jpg"/><Relationship Id="rId2" Type="http://schemas.openxmlformats.org/officeDocument/2006/relationships/image" Target="../media/image8.png"/><Relationship Id="rId1" Type="http://schemas.openxmlformats.org/officeDocument/2006/relationships/hyperlink" Target="http://www.grass.at" TargetMode="External"/><Relationship Id="rId6" Type="http://schemas.openxmlformats.org/officeDocument/2006/relationships/image" Target="../media/image12.jpg"/><Relationship Id="rId11" Type="http://schemas.openxmlformats.org/officeDocument/2006/relationships/image" Target="../media/image17.jpg"/><Relationship Id="rId5" Type="http://schemas.openxmlformats.org/officeDocument/2006/relationships/image" Target="../media/image11.jpg"/><Relationship Id="rId10" Type="http://schemas.openxmlformats.org/officeDocument/2006/relationships/image" Target="../media/image16.jpg"/><Relationship Id="rId4" Type="http://schemas.openxmlformats.org/officeDocument/2006/relationships/image" Target="../media/image10.jpg"/><Relationship Id="rId9" Type="http://schemas.openxmlformats.org/officeDocument/2006/relationships/image" Target="../media/image15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7" Type="http://schemas.openxmlformats.org/officeDocument/2006/relationships/image" Target="../media/image7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6.emf"/><Relationship Id="rId5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9525</xdr:colOff>
      <xdr:row>6</xdr:row>
      <xdr:rowOff>28575</xdr:rowOff>
    </xdr:from>
    <xdr:to>
      <xdr:col>68</xdr:col>
      <xdr:colOff>117525</xdr:colOff>
      <xdr:row>6</xdr:row>
      <xdr:rowOff>209550</xdr:rowOff>
    </xdr:to>
    <xdr:sp macro="" textlink="">
      <xdr:nvSpPr>
        <xdr:cNvPr id="71" name="Rechteck 70"/>
        <xdr:cNvSpPr/>
      </xdr:nvSpPr>
      <xdr:spPr>
        <a:xfrm>
          <a:off x="5857875" y="1400175"/>
          <a:ext cx="4680000" cy="180975"/>
        </a:xfrm>
        <a:prstGeom prst="rect">
          <a:avLst/>
        </a:prstGeom>
        <a:gradFill flip="none" rotWithShape="1">
          <a:gsLst>
            <a:gs pos="0">
              <a:srgbClr val="00601E"/>
            </a:gs>
            <a:gs pos="50000">
              <a:srgbClr val="008028"/>
            </a:gs>
            <a:gs pos="100000">
              <a:srgbClr val="008028"/>
            </a:gs>
          </a:gsLst>
          <a:lin ang="5340000" scaled="0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2</xdr:row>
          <xdr:rowOff>0</xdr:rowOff>
        </xdr:from>
        <xdr:to>
          <xdr:col>53</xdr:col>
          <xdr:colOff>47625</xdr:colOff>
          <xdr:row>3</xdr:row>
          <xdr:rowOff>0</xdr:rowOff>
        </xdr:to>
        <xdr:sp macro="" textlink="">
          <xdr:nvSpPr>
            <xdr:cNvPr id="4098" name="Spinner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3</xdr:row>
          <xdr:rowOff>0</xdr:rowOff>
        </xdr:from>
        <xdr:to>
          <xdr:col>53</xdr:col>
          <xdr:colOff>47625</xdr:colOff>
          <xdr:row>4</xdr:row>
          <xdr:rowOff>0</xdr:rowOff>
        </xdr:to>
        <xdr:sp macro="" textlink="">
          <xdr:nvSpPr>
            <xdr:cNvPr id="4099" name="Spinner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4</xdr:row>
          <xdr:rowOff>9525</xdr:rowOff>
        </xdr:from>
        <xdr:to>
          <xdr:col>53</xdr:col>
          <xdr:colOff>47625</xdr:colOff>
          <xdr:row>5</xdr:row>
          <xdr:rowOff>9525</xdr:rowOff>
        </xdr:to>
        <xdr:sp macro="" textlink="">
          <xdr:nvSpPr>
            <xdr:cNvPr id="4100" name="Spinner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 editAs="oneCell">
    <xdr:from>
      <xdr:col>1</xdr:col>
      <xdr:colOff>28635</xdr:colOff>
      <xdr:row>1</xdr:row>
      <xdr:rowOff>9525</xdr:rowOff>
    </xdr:from>
    <xdr:to>
      <xdr:col>21</xdr:col>
      <xdr:colOff>76200</xdr:colOff>
      <xdr:row>4</xdr:row>
      <xdr:rowOff>39463</xdr:rowOff>
    </xdr:to>
    <xdr:pic>
      <xdr:nvPicPr>
        <xdr:cNvPr id="2" name="Grafik 1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1486"/>
        <a:stretch/>
      </xdr:blipFill>
      <xdr:spPr>
        <a:xfrm>
          <a:off x="238185" y="200025"/>
          <a:ext cx="3143190" cy="715738"/>
        </a:xfrm>
        <a:prstGeom prst="rect">
          <a:avLst/>
        </a:prstGeom>
      </xdr:spPr>
    </xdr:pic>
    <xdr:clientData/>
  </xdr:twoCellAnchor>
  <xdr:twoCellAnchor>
    <xdr:from>
      <xdr:col>2</xdr:col>
      <xdr:colOff>85725</xdr:colOff>
      <xdr:row>6</xdr:row>
      <xdr:rowOff>28575</xdr:rowOff>
    </xdr:from>
    <xdr:to>
      <xdr:col>22</xdr:col>
      <xdr:colOff>133350</xdr:colOff>
      <xdr:row>6</xdr:row>
      <xdr:rowOff>171449</xdr:rowOff>
    </xdr:to>
    <xdr:sp macro="" textlink="">
      <xdr:nvSpPr>
        <xdr:cNvPr id="3" name="Rechteck 2"/>
        <xdr:cNvSpPr/>
      </xdr:nvSpPr>
      <xdr:spPr>
        <a:xfrm>
          <a:off x="447675" y="1400175"/>
          <a:ext cx="3095625" cy="142874"/>
        </a:xfrm>
        <a:prstGeom prst="rect">
          <a:avLst/>
        </a:prstGeom>
        <a:gradFill flip="none" rotWithShape="1">
          <a:gsLst>
            <a:gs pos="0">
              <a:srgbClr val="00601E"/>
            </a:gs>
            <a:gs pos="50000">
              <a:srgbClr val="008028"/>
            </a:gs>
            <a:gs pos="100000">
              <a:srgbClr val="008028"/>
            </a:gs>
          </a:gsLst>
          <a:lin ang="5640000" scaled="0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65</xdr:col>
          <xdr:colOff>47625</xdr:colOff>
          <xdr:row>11</xdr:row>
          <xdr:rowOff>0</xdr:rowOff>
        </xdr:from>
        <xdr:to>
          <xdr:col>66</xdr:col>
          <xdr:colOff>57150</xdr:colOff>
          <xdr:row>12</xdr:row>
          <xdr:rowOff>0</xdr:rowOff>
        </xdr:to>
        <xdr:sp macro="" textlink="">
          <xdr:nvSpPr>
            <xdr:cNvPr id="4103" name="Spinner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38100</xdr:colOff>
          <xdr:row>11</xdr:row>
          <xdr:rowOff>0</xdr:rowOff>
        </xdr:from>
        <xdr:to>
          <xdr:col>53</xdr:col>
          <xdr:colOff>47625</xdr:colOff>
          <xdr:row>12</xdr:row>
          <xdr:rowOff>0</xdr:rowOff>
        </xdr:to>
        <xdr:sp macro="" textlink="">
          <xdr:nvSpPr>
            <xdr:cNvPr id="4104" name="Spinner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66675</xdr:colOff>
          <xdr:row>11</xdr:row>
          <xdr:rowOff>19050</xdr:rowOff>
        </xdr:from>
        <xdr:to>
          <xdr:col>48</xdr:col>
          <xdr:colOff>9525</xdr:colOff>
          <xdr:row>11</xdr:row>
          <xdr:rowOff>219075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133350</xdr:colOff>
          <xdr:row>5</xdr:row>
          <xdr:rowOff>38100</xdr:rowOff>
        </xdr:from>
        <xdr:to>
          <xdr:col>52</xdr:col>
          <xdr:colOff>66675</xdr:colOff>
          <xdr:row>5</xdr:row>
          <xdr:rowOff>228600</xdr:rowOff>
        </xdr:to>
        <xdr:sp macro="" textlink="">
          <xdr:nvSpPr>
            <xdr:cNvPr id="4107" name="Drop Down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66675</xdr:colOff>
          <xdr:row>9</xdr:row>
          <xdr:rowOff>9525</xdr:rowOff>
        </xdr:from>
        <xdr:to>
          <xdr:col>48</xdr:col>
          <xdr:colOff>38100</xdr:colOff>
          <xdr:row>9</xdr:row>
          <xdr:rowOff>228600</xdr:rowOff>
        </xdr:to>
        <xdr:sp macro="" textlink="">
          <xdr:nvSpPr>
            <xdr:cNvPr id="4112" name="Option Button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4</xdr:col>
      <xdr:colOff>91290</xdr:colOff>
      <xdr:row>40</xdr:row>
      <xdr:rowOff>114300</xdr:rowOff>
    </xdr:from>
    <xdr:to>
      <xdr:col>10</xdr:col>
      <xdr:colOff>114300</xdr:colOff>
      <xdr:row>42</xdr:row>
      <xdr:rowOff>888901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915" y="1228725"/>
          <a:ext cx="937410" cy="1155600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92850</xdr:colOff>
      <xdr:row>49</xdr:row>
      <xdr:rowOff>138075</xdr:rowOff>
    </xdr:from>
    <xdr:to>
      <xdr:col>10</xdr:col>
      <xdr:colOff>114450</xdr:colOff>
      <xdr:row>51</xdr:row>
      <xdr:rowOff>74476</xdr:rowOff>
    </xdr:to>
    <xdr:pic>
      <xdr:nvPicPr>
        <xdr:cNvPr id="6" name="Grafik 5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600" y="7253250"/>
          <a:ext cx="936000" cy="1155601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92850</xdr:colOff>
      <xdr:row>52</xdr:row>
      <xdr:rowOff>126150</xdr:rowOff>
    </xdr:from>
    <xdr:to>
      <xdr:col>10</xdr:col>
      <xdr:colOff>114450</xdr:colOff>
      <xdr:row>54</xdr:row>
      <xdr:rowOff>929324</xdr:rowOff>
    </xdr:to>
    <xdr:pic>
      <xdr:nvPicPr>
        <xdr:cNvPr id="7" name="Grafik 6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475" y="5260125"/>
          <a:ext cx="936000" cy="1155600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92850</xdr:colOff>
      <xdr:row>56</xdr:row>
      <xdr:rowOff>114225</xdr:rowOff>
    </xdr:from>
    <xdr:to>
      <xdr:col>10</xdr:col>
      <xdr:colOff>114450</xdr:colOff>
      <xdr:row>58</xdr:row>
      <xdr:rowOff>917401</xdr:rowOff>
    </xdr:to>
    <xdr:pic>
      <xdr:nvPicPr>
        <xdr:cNvPr id="8" name="Grafik 7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475" y="6591225"/>
          <a:ext cx="936000" cy="1155600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36</xdr:col>
      <xdr:colOff>92850</xdr:colOff>
      <xdr:row>40</xdr:row>
      <xdr:rowOff>111825</xdr:rowOff>
    </xdr:from>
    <xdr:to>
      <xdr:col>42</xdr:col>
      <xdr:colOff>114450</xdr:colOff>
      <xdr:row>42</xdr:row>
      <xdr:rowOff>886426</xdr:rowOff>
    </xdr:to>
    <xdr:pic>
      <xdr:nvPicPr>
        <xdr:cNvPr id="9" name="Grafik 8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9225" y="1226250"/>
          <a:ext cx="936000" cy="1155600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36</xdr:col>
      <xdr:colOff>92850</xdr:colOff>
      <xdr:row>44</xdr:row>
      <xdr:rowOff>111899</xdr:rowOff>
    </xdr:from>
    <xdr:to>
      <xdr:col>42</xdr:col>
      <xdr:colOff>114450</xdr:colOff>
      <xdr:row>46</xdr:row>
      <xdr:rowOff>915073</xdr:rowOff>
    </xdr:to>
    <xdr:pic>
      <xdr:nvPicPr>
        <xdr:cNvPr id="10" name="Grafik 9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9225" y="2578874"/>
          <a:ext cx="936000" cy="1155600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36</xdr:col>
      <xdr:colOff>92850</xdr:colOff>
      <xdr:row>48</xdr:row>
      <xdr:rowOff>119025</xdr:rowOff>
    </xdr:from>
    <xdr:to>
      <xdr:col>42</xdr:col>
      <xdr:colOff>114450</xdr:colOff>
      <xdr:row>50</xdr:row>
      <xdr:rowOff>922201</xdr:rowOff>
    </xdr:to>
    <xdr:pic>
      <xdr:nvPicPr>
        <xdr:cNvPr id="11" name="Grafik 10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9225" y="3909975"/>
          <a:ext cx="936000" cy="1155600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36</xdr:col>
      <xdr:colOff>92850</xdr:colOff>
      <xdr:row>52</xdr:row>
      <xdr:rowOff>119025</xdr:rowOff>
    </xdr:from>
    <xdr:to>
      <xdr:col>42</xdr:col>
      <xdr:colOff>114450</xdr:colOff>
      <xdr:row>54</xdr:row>
      <xdr:rowOff>922199</xdr:rowOff>
    </xdr:to>
    <xdr:pic>
      <xdr:nvPicPr>
        <xdr:cNvPr id="12" name="Grafik 11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9225" y="5253000"/>
          <a:ext cx="936000" cy="1155600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36</xdr:col>
      <xdr:colOff>92850</xdr:colOff>
      <xdr:row>56</xdr:row>
      <xdr:rowOff>119025</xdr:rowOff>
    </xdr:from>
    <xdr:to>
      <xdr:col>42</xdr:col>
      <xdr:colOff>114450</xdr:colOff>
      <xdr:row>58</xdr:row>
      <xdr:rowOff>922201</xdr:rowOff>
    </xdr:to>
    <xdr:pic>
      <xdr:nvPicPr>
        <xdr:cNvPr id="13" name="Grafik 12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9225" y="6596025"/>
          <a:ext cx="936000" cy="1155600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</xdr:row>
          <xdr:rowOff>19050</xdr:rowOff>
        </xdr:from>
        <xdr:to>
          <xdr:col>21</xdr:col>
          <xdr:colOff>123825</xdr:colOff>
          <xdr:row>8</xdr:row>
          <xdr:rowOff>219075</xdr:rowOff>
        </xdr:to>
        <xdr:sp macro="" textlink="">
          <xdr:nvSpPr>
            <xdr:cNvPr id="4101" name="Drop Dow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41</xdr:row>
          <xdr:rowOff>66675</xdr:rowOff>
        </xdr:from>
        <xdr:to>
          <xdr:col>13</xdr:col>
          <xdr:colOff>114300</xdr:colOff>
          <xdr:row>42</xdr:row>
          <xdr:rowOff>47625</xdr:rowOff>
        </xdr:to>
        <xdr:sp macro="" textlink="">
          <xdr:nvSpPr>
            <xdr:cNvPr id="4118" name="OptionButton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114301</xdr:colOff>
      <xdr:row>40</xdr:row>
      <xdr:rowOff>114300</xdr:rowOff>
    </xdr:from>
    <xdr:to>
      <xdr:col>34</xdr:col>
      <xdr:colOff>0</xdr:colOff>
      <xdr:row>43</xdr:row>
      <xdr:rowOff>76200</xdr:rowOff>
    </xdr:to>
    <xdr:sp macro="" textlink="">
      <xdr:nvSpPr>
        <xdr:cNvPr id="43" name="Abgerundetes Rechteck 42"/>
        <xdr:cNvSpPr/>
      </xdr:nvSpPr>
      <xdr:spPr>
        <a:xfrm>
          <a:off x="2305051" y="3219450"/>
          <a:ext cx="2933699" cy="1190625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104775</xdr:colOff>
      <xdr:row>40</xdr:row>
      <xdr:rowOff>123826</xdr:rowOff>
    </xdr:from>
    <xdr:to>
      <xdr:col>14</xdr:col>
      <xdr:colOff>47625</xdr:colOff>
      <xdr:row>42</xdr:row>
      <xdr:rowOff>114300</xdr:rowOff>
    </xdr:to>
    <xdr:sp macro="" textlink="">
      <xdr:nvSpPr>
        <xdr:cNvPr id="44" name="Abgerundetes Rechteck 43"/>
        <xdr:cNvSpPr/>
      </xdr:nvSpPr>
      <xdr:spPr>
        <a:xfrm>
          <a:off x="104775" y="1238251"/>
          <a:ext cx="400050" cy="371474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104775</xdr:colOff>
      <xdr:row>42</xdr:row>
      <xdr:rowOff>190500</xdr:rowOff>
    </xdr:from>
    <xdr:to>
      <xdr:col>14</xdr:col>
      <xdr:colOff>47625</xdr:colOff>
      <xdr:row>43</xdr:row>
      <xdr:rowOff>66675</xdr:rowOff>
    </xdr:to>
    <xdr:sp macro="" textlink="">
      <xdr:nvSpPr>
        <xdr:cNvPr id="45" name="Abgerundetes Rechteck 44"/>
        <xdr:cNvSpPr/>
      </xdr:nvSpPr>
      <xdr:spPr>
        <a:xfrm>
          <a:off x="104775" y="1685925"/>
          <a:ext cx="400050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92850</xdr:colOff>
      <xdr:row>44</xdr:row>
      <xdr:rowOff>111899</xdr:rowOff>
    </xdr:from>
    <xdr:to>
      <xdr:col>10</xdr:col>
      <xdr:colOff>114300</xdr:colOff>
      <xdr:row>46</xdr:row>
      <xdr:rowOff>913150</xdr:rowOff>
    </xdr:to>
    <xdr:pic>
      <xdr:nvPicPr>
        <xdr:cNvPr id="51" name="Grafik 50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475" y="2578874"/>
          <a:ext cx="935850" cy="1153677"/>
        </a:xfrm>
        <a:prstGeom prst="rect">
          <a:avLst/>
        </a:prstGeom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45</xdr:row>
          <xdr:rowOff>66675</xdr:rowOff>
        </xdr:from>
        <xdr:to>
          <xdr:col>13</xdr:col>
          <xdr:colOff>114300</xdr:colOff>
          <xdr:row>46</xdr:row>
          <xdr:rowOff>47625</xdr:rowOff>
        </xdr:to>
        <xdr:sp macro="" textlink="">
          <xdr:nvSpPr>
            <xdr:cNvPr id="4120" name="OptionButton3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114301</xdr:colOff>
      <xdr:row>44</xdr:row>
      <xdr:rowOff>114300</xdr:rowOff>
    </xdr:from>
    <xdr:to>
      <xdr:col>33</xdr:col>
      <xdr:colOff>161925</xdr:colOff>
      <xdr:row>47</xdr:row>
      <xdr:rowOff>76200</xdr:rowOff>
    </xdr:to>
    <xdr:sp macro="" textlink="">
      <xdr:nvSpPr>
        <xdr:cNvPr id="53" name="Abgerundetes Rechteck 52"/>
        <xdr:cNvSpPr/>
      </xdr:nvSpPr>
      <xdr:spPr>
        <a:xfrm>
          <a:off x="571501" y="2581275"/>
          <a:ext cx="3400424" cy="11430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104775</xdr:colOff>
      <xdr:row>44</xdr:row>
      <xdr:rowOff>123826</xdr:rowOff>
    </xdr:from>
    <xdr:to>
      <xdr:col>14</xdr:col>
      <xdr:colOff>47625</xdr:colOff>
      <xdr:row>46</xdr:row>
      <xdr:rowOff>114300</xdr:rowOff>
    </xdr:to>
    <xdr:sp macro="" textlink="">
      <xdr:nvSpPr>
        <xdr:cNvPr id="54" name="Abgerundetes Rechteck 53"/>
        <xdr:cNvSpPr/>
      </xdr:nvSpPr>
      <xdr:spPr>
        <a:xfrm>
          <a:off x="104775" y="2590801"/>
          <a:ext cx="400050" cy="342899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104775</xdr:colOff>
      <xdr:row>46</xdr:row>
      <xdr:rowOff>190500</xdr:rowOff>
    </xdr:from>
    <xdr:to>
      <xdr:col>14</xdr:col>
      <xdr:colOff>47625</xdr:colOff>
      <xdr:row>47</xdr:row>
      <xdr:rowOff>66675</xdr:rowOff>
    </xdr:to>
    <xdr:sp macro="" textlink="">
      <xdr:nvSpPr>
        <xdr:cNvPr id="55" name="Abgerundetes Rechteck 54"/>
        <xdr:cNvSpPr/>
      </xdr:nvSpPr>
      <xdr:spPr>
        <a:xfrm>
          <a:off x="104775" y="3009900"/>
          <a:ext cx="400050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49</xdr:row>
          <xdr:rowOff>66675</xdr:rowOff>
        </xdr:from>
        <xdr:to>
          <xdr:col>13</xdr:col>
          <xdr:colOff>114300</xdr:colOff>
          <xdr:row>50</xdr:row>
          <xdr:rowOff>47625</xdr:rowOff>
        </xdr:to>
        <xdr:sp macro="" textlink="">
          <xdr:nvSpPr>
            <xdr:cNvPr id="4121" name="OptionButton1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114301</xdr:colOff>
      <xdr:row>48</xdr:row>
      <xdr:rowOff>114300</xdr:rowOff>
    </xdr:from>
    <xdr:to>
      <xdr:col>33</xdr:col>
      <xdr:colOff>161925</xdr:colOff>
      <xdr:row>51</xdr:row>
      <xdr:rowOff>76200</xdr:rowOff>
    </xdr:to>
    <xdr:sp macro="" textlink="">
      <xdr:nvSpPr>
        <xdr:cNvPr id="58" name="Abgerundetes Rechteck 57"/>
        <xdr:cNvSpPr/>
      </xdr:nvSpPr>
      <xdr:spPr>
        <a:xfrm>
          <a:off x="571501" y="3905250"/>
          <a:ext cx="3400424" cy="11430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104775</xdr:colOff>
      <xdr:row>48</xdr:row>
      <xdr:rowOff>123826</xdr:rowOff>
    </xdr:from>
    <xdr:to>
      <xdr:col>14</xdr:col>
      <xdr:colOff>47625</xdr:colOff>
      <xdr:row>50</xdr:row>
      <xdr:rowOff>114300</xdr:rowOff>
    </xdr:to>
    <xdr:sp macro="" textlink="">
      <xdr:nvSpPr>
        <xdr:cNvPr id="59" name="Abgerundetes Rechteck 58"/>
        <xdr:cNvSpPr/>
      </xdr:nvSpPr>
      <xdr:spPr>
        <a:xfrm>
          <a:off x="1838325" y="5943601"/>
          <a:ext cx="400050" cy="342899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104775</xdr:colOff>
      <xdr:row>50</xdr:row>
      <xdr:rowOff>190500</xdr:rowOff>
    </xdr:from>
    <xdr:to>
      <xdr:col>14</xdr:col>
      <xdr:colOff>47625</xdr:colOff>
      <xdr:row>51</xdr:row>
      <xdr:rowOff>66675</xdr:rowOff>
    </xdr:to>
    <xdr:sp macro="" textlink="">
      <xdr:nvSpPr>
        <xdr:cNvPr id="60" name="Abgerundetes Rechteck 59"/>
        <xdr:cNvSpPr/>
      </xdr:nvSpPr>
      <xdr:spPr>
        <a:xfrm>
          <a:off x="104775" y="4333875"/>
          <a:ext cx="400050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114301</xdr:colOff>
      <xdr:row>52</xdr:row>
      <xdr:rowOff>114300</xdr:rowOff>
    </xdr:from>
    <xdr:to>
      <xdr:col>33</xdr:col>
      <xdr:colOff>161925</xdr:colOff>
      <xdr:row>55</xdr:row>
      <xdr:rowOff>76200</xdr:rowOff>
    </xdr:to>
    <xdr:sp macro="" textlink="">
      <xdr:nvSpPr>
        <xdr:cNvPr id="62" name="Abgerundetes Rechteck 61"/>
        <xdr:cNvSpPr/>
      </xdr:nvSpPr>
      <xdr:spPr>
        <a:xfrm>
          <a:off x="1990726" y="3905250"/>
          <a:ext cx="3400424" cy="11430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104775</xdr:colOff>
      <xdr:row>52</xdr:row>
      <xdr:rowOff>123826</xdr:rowOff>
    </xdr:from>
    <xdr:to>
      <xdr:col>14</xdr:col>
      <xdr:colOff>47625</xdr:colOff>
      <xdr:row>54</xdr:row>
      <xdr:rowOff>114300</xdr:rowOff>
    </xdr:to>
    <xdr:sp macro="" textlink="">
      <xdr:nvSpPr>
        <xdr:cNvPr id="63" name="Abgerundetes Rechteck 62"/>
        <xdr:cNvSpPr/>
      </xdr:nvSpPr>
      <xdr:spPr>
        <a:xfrm>
          <a:off x="1533525" y="3914776"/>
          <a:ext cx="390525" cy="342899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104775</xdr:colOff>
      <xdr:row>54</xdr:row>
      <xdr:rowOff>190500</xdr:rowOff>
    </xdr:from>
    <xdr:to>
      <xdr:col>14</xdr:col>
      <xdr:colOff>47625</xdr:colOff>
      <xdr:row>55</xdr:row>
      <xdr:rowOff>66675</xdr:rowOff>
    </xdr:to>
    <xdr:sp macro="" textlink="">
      <xdr:nvSpPr>
        <xdr:cNvPr id="64" name="Abgerundetes Rechteck 63"/>
        <xdr:cNvSpPr/>
      </xdr:nvSpPr>
      <xdr:spPr>
        <a:xfrm>
          <a:off x="1533525" y="4333875"/>
          <a:ext cx="390525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114301</xdr:colOff>
      <xdr:row>56</xdr:row>
      <xdr:rowOff>114300</xdr:rowOff>
    </xdr:from>
    <xdr:to>
      <xdr:col>33</xdr:col>
      <xdr:colOff>161925</xdr:colOff>
      <xdr:row>59</xdr:row>
      <xdr:rowOff>76200</xdr:rowOff>
    </xdr:to>
    <xdr:sp macro="" textlink="">
      <xdr:nvSpPr>
        <xdr:cNvPr id="66" name="Abgerundetes Rechteck 65"/>
        <xdr:cNvSpPr/>
      </xdr:nvSpPr>
      <xdr:spPr>
        <a:xfrm>
          <a:off x="1990726" y="5248275"/>
          <a:ext cx="3400424" cy="11430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104775</xdr:colOff>
      <xdr:row>56</xdr:row>
      <xdr:rowOff>123826</xdr:rowOff>
    </xdr:from>
    <xdr:to>
      <xdr:col>14</xdr:col>
      <xdr:colOff>47625</xdr:colOff>
      <xdr:row>58</xdr:row>
      <xdr:rowOff>114300</xdr:rowOff>
    </xdr:to>
    <xdr:sp macro="" textlink="">
      <xdr:nvSpPr>
        <xdr:cNvPr id="67" name="Abgerundetes Rechteck 66"/>
        <xdr:cNvSpPr/>
      </xdr:nvSpPr>
      <xdr:spPr>
        <a:xfrm>
          <a:off x="1533525" y="5257801"/>
          <a:ext cx="390525" cy="342899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104775</xdr:colOff>
      <xdr:row>58</xdr:row>
      <xdr:rowOff>190500</xdr:rowOff>
    </xdr:from>
    <xdr:to>
      <xdr:col>14</xdr:col>
      <xdr:colOff>47625</xdr:colOff>
      <xdr:row>59</xdr:row>
      <xdr:rowOff>66675</xdr:rowOff>
    </xdr:to>
    <xdr:sp macro="" textlink="">
      <xdr:nvSpPr>
        <xdr:cNvPr id="68" name="Abgerundetes Rechteck 67"/>
        <xdr:cNvSpPr/>
      </xdr:nvSpPr>
      <xdr:spPr>
        <a:xfrm>
          <a:off x="1533525" y="5676900"/>
          <a:ext cx="390525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114301</xdr:colOff>
      <xdr:row>40</xdr:row>
      <xdr:rowOff>114300</xdr:rowOff>
    </xdr:from>
    <xdr:to>
      <xdr:col>65</xdr:col>
      <xdr:colOff>161925</xdr:colOff>
      <xdr:row>43</xdr:row>
      <xdr:rowOff>76200</xdr:rowOff>
    </xdr:to>
    <xdr:sp macro="" textlink="">
      <xdr:nvSpPr>
        <xdr:cNvPr id="72" name="Abgerundetes Rechteck 71"/>
        <xdr:cNvSpPr/>
      </xdr:nvSpPr>
      <xdr:spPr>
        <a:xfrm>
          <a:off x="1990726" y="1228725"/>
          <a:ext cx="3400424" cy="1171575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43</xdr:col>
      <xdr:colOff>104775</xdr:colOff>
      <xdr:row>40</xdr:row>
      <xdr:rowOff>123826</xdr:rowOff>
    </xdr:from>
    <xdr:to>
      <xdr:col>46</xdr:col>
      <xdr:colOff>47625</xdr:colOff>
      <xdr:row>42</xdr:row>
      <xdr:rowOff>114300</xdr:rowOff>
    </xdr:to>
    <xdr:sp macro="" textlink="">
      <xdr:nvSpPr>
        <xdr:cNvPr id="73" name="Abgerundetes Rechteck 72"/>
        <xdr:cNvSpPr/>
      </xdr:nvSpPr>
      <xdr:spPr>
        <a:xfrm>
          <a:off x="1533525" y="1238251"/>
          <a:ext cx="390525" cy="371474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43</xdr:col>
      <xdr:colOff>104775</xdr:colOff>
      <xdr:row>42</xdr:row>
      <xdr:rowOff>190500</xdr:rowOff>
    </xdr:from>
    <xdr:to>
      <xdr:col>46</xdr:col>
      <xdr:colOff>47625</xdr:colOff>
      <xdr:row>43</xdr:row>
      <xdr:rowOff>66675</xdr:rowOff>
    </xdr:to>
    <xdr:sp macro="" textlink="">
      <xdr:nvSpPr>
        <xdr:cNvPr id="74" name="Abgerundetes Rechteck 73"/>
        <xdr:cNvSpPr/>
      </xdr:nvSpPr>
      <xdr:spPr>
        <a:xfrm>
          <a:off x="1533525" y="1685925"/>
          <a:ext cx="390525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114301</xdr:colOff>
      <xdr:row>44</xdr:row>
      <xdr:rowOff>114300</xdr:rowOff>
    </xdr:from>
    <xdr:to>
      <xdr:col>65</xdr:col>
      <xdr:colOff>161925</xdr:colOff>
      <xdr:row>47</xdr:row>
      <xdr:rowOff>76200</xdr:rowOff>
    </xdr:to>
    <xdr:sp macro="" textlink="">
      <xdr:nvSpPr>
        <xdr:cNvPr id="76" name="Abgerundetes Rechteck 75"/>
        <xdr:cNvSpPr/>
      </xdr:nvSpPr>
      <xdr:spPr>
        <a:xfrm>
          <a:off x="1990726" y="2581275"/>
          <a:ext cx="3400424" cy="11430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43</xdr:col>
      <xdr:colOff>104775</xdr:colOff>
      <xdr:row>44</xdr:row>
      <xdr:rowOff>123826</xdr:rowOff>
    </xdr:from>
    <xdr:to>
      <xdr:col>46</xdr:col>
      <xdr:colOff>47625</xdr:colOff>
      <xdr:row>46</xdr:row>
      <xdr:rowOff>114300</xdr:rowOff>
    </xdr:to>
    <xdr:sp macro="" textlink="">
      <xdr:nvSpPr>
        <xdr:cNvPr id="77" name="Abgerundetes Rechteck 76"/>
        <xdr:cNvSpPr/>
      </xdr:nvSpPr>
      <xdr:spPr>
        <a:xfrm>
          <a:off x="1533525" y="2590801"/>
          <a:ext cx="390525" cy="342899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43</xdr:col>
      <xdr:colOff>104775</xdr:colOff>
      <xdr:row>46</xdr:row>
      <xdr:rowOff>190500</xdr:rowOff>
    </xdr:from>
    <xdr:to>
      <xdr:col>46</xdr:col>
      <xdr:colOff>47625</xdr:colOff>
      <xdr:row>47</xdr:row>
      <xdr:rowOff>66675</xdr:rowOff>
    </xdr:to>
    <xdr:sp macro="" textlink="">
      <xdr:nvSpPr>
        <xdr:cNvPr id="78" name="Abgerundetes Rechteck 77"/>
        <xdr:cNvSpPr/>
      </xdr:nvSpPr>
      <xdr:spPr>
        <a:xfrm>
          <a:off x="1533525" y="3009900"/>
          <a:ext cx="390525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114301</xdr:colOff>
      <xdr:row>48</xdr:row>
      <xdr:rowOff>114300</xdr:rowOff>
    </xdr:from>
    <xdr:to>
      <xdr:col>65</xdr:col>
      <xdr:colOff>161925</xdr:colOff>
      <xdr:row>51</xdr:row>
      <xdr:rowOff>76200</xdr:rowOff>
    </xdr:to>
    <xdr:sp macro="" textlink="">
      <xdr:nvSpPr>
        <xdr:cNvPr id="79" name="Abgerundetes Rechteck 78"/>
        <xdr:cNvSpPr/>
      </xdr:nvSpPr>
      <xdr:spPr>
        <a:xfrm>
          <a:off x="1990726" y="3905250"/>
          <a:ext cx="3400424" cy="11430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43</xdr:col>
      <xdr:colOff>104775</xdr:colOff>
      <xdr:row>48</xdr:row>
      <xdr:rowOff>123826</xdr:rowOff>
    </xdr:from>
    <xdr:to>
      <xdr:col>46</xdr:col>
      <xdr:colOff>47625</xdr:colOff>
      <xdr:row>50</xdr:row>
      <xdr:rowOff>114300</xdr:rowOff>
    </xdr:to>
    <xdr:sp macro="" textlink="">
      <xdr:nvSpPr>
        <xdr:cNvPr id="80" name="Abgerundetes Rechteck 79"/>
        <xdr:cNvSpPr/>
      </xdr:nvSpPr>
      <xdr:spPr>
        <a:xfrm>
          <a:off x="1533525" y="3914776"/>
          <a:ext cx="390525" cy="342899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43</xdr:col>
      <xdr:colOff>104775</xdr:colOff>
      <xdr:row>50</xdr:row>
      <xdr:rowOff>190500</xdr:rowOff>
    </xdr:from>
    <xdr:to>
      <xdr:col>46</xdr:col>
      <xdr:colOff>47625</xdr:colOff>
      <xdr:row>51</xdr:row>
      <xdr:rowOff>66675</xdr:rowOff>
    </xdr:to>
    <xdr:sp macro="" textlink="">
      <xdr:nvSpPr>
        <xdr:cNvPr id="81" name="Abgerundetes Rechteck 80"/>
        <xdr:cNvSpPr/>
      </xdr:nvSpPr>
      <xdr:spPr>
        <a:xfrm>
          <a:off x="1533525" y="4333875"/>
          <a:ext cx="390525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114301</xdr:colOff>
      <xdr:row>52</xdr:row>
      <xdr:rowOff>114300</xdr:rowOff>
    </xdr:from>
    <xdr:to>
      <xdr:col>65</xdr:col>
      <xdr:colOff>161925</xdr:colOff>
      <xdr:row>55</xdr:row>
      <xdr:rowOff>76200</xdr:rowOff>
    </xdr:to>
    <xdr:sp macro="" textlink="">
      <xdr:nvSpPr>
        <xdr:cNvPr id="83" name="Abgerundetes Rechteck 82"/>
        <xdr:cNvSpPr/>
      </xdr:nvSpPr>
      <xdr:spPr>
        <a:xfrm>
          <a:off x="1990726" y="5248275"/>
          <a:ext cx="3400424" cy="11430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43</xdr:col>
      <xdr:colOff>104775</xdr:colOff>
      <xdr:row>52</xdr:row>
      <xdr:rowOff>123826</xdr:rowOff>
    </xdr:from>
    <xdr:to>
      <xdr:col>46</xdr:col>
      <xdr:colOff>47625</xdr:colOff>
      <xdr:row>54</xdr:row>
      <xdr:rowOff>114300</xdr:rowOff>
    </xdr:to>
    <xdr:sp macro="" textlink="">
      <xdr:nvSpPr>
        <xdr:cNvPr id="84" name="Abgerundetes Rechteck 83"/>
        <xdr:cNvSpPr/>
      </xdr:nvSpPr>
      <xdr:spPr>
        <a:xfrm>
          <a:off x="1533525" y="5257801"/>
          <a:ext cx="390525" cy="342899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43</xdr:col>
      <xdr:colOff>104775</xdr:colOff>
      <xdr:row>54</xdr:row>
      <xdr:rowOff>190500</xdr:rowOff>
    </xdr:from>
    <xdr:to>
      <xdr:col>46</xdr:col>
      <xdr:colOff>47625</xdr:colOff>
      <xdr:row>55</xdr:row>
      <xdr:rowOff>66675</xdr:rowOff>
    </xdr:to>
    <xdr:sp macro="" textlink="">
      <xdr:nvSpPr>
        <xdr:cNvPr id="85" name="Abgerundetes Rechteck 84"/>
        <xdr:cNvSpPr/>
      </xdr:nvSpPr>
      <xdr:spPr>
        <a:xfrm>
          <a:off x="6715125" y="7724775"/>
          <a:ext cx="400050" cy="7239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114301</xdr:colOff>
      <xdr:row>56</xdr:row>
      <xdr:rowOff>114300</xdr:rowOff>
    </xdr:from>
    <xdr:to>
      <xdr:col>65</xdr:col>
      <xdr:colOff>161925</xdr:colOff>
      <xdr:row>59</xdr:row>
      <xdr:rowOff>76200</xdr:rowOff>
    </xdr:to>
    <xdr:sp macro="" textlink="">
      <xdr:nvSpPr>
        <xdr:cNvPr id="87" name="Abgerundetes Rechteck 86"/>
        <xdr:cNvSpPr/>
      </xdr:nvSpPr>
      <xdr:spPr>
        <a:xfrm>
          <a:off x="1990726" y="6591300"/>
          <a:ext cx="3400424" cy="114300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43</xdr:col>
      <xdr:colOff>104775</xdr:colOff>
      <xdr:row>56</xdr:row>
      <xdr:rowOff>123826</xdr:rowOff>
    </xdr:from>
    <xdr:to>
      <xdr:col>46</xdr:col>
      <xdr:colOff>47625</xdr:colOff>
      <xdr:row>58</xdr:row>
      <xdr:rowOff>114300</xdr:rowOff>
    </xdr:to>
    <xdr:sp macro="" textlink="">
      <xdr:nvSpPr>
        <xdr:cNvPr id="88" name="Abgerundetes Rechteck 87"/>
        <xdr:cNvSpPr/>
      </xdr:nvSpPr>
      <xdr:spPr>
        <a:xfrm>
          <a:off x="1533525" y="6600826"/>
          <a:ext cx="390525" cy="342899"/>
        </a:xfrm>
        <a:prstGeom prst="roundRect">
          <a:avLst>
            <a:gd name="adj" fmla="val 0"/>
          </a:avLst>
        </a:prstGeom>
        <a:noFill/>
        <a:ln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43</xdr:col>
      <xdr:colOff>104775</xdr:colOff>
      <xdr:row>58</xdr:row>
      <xdr:rowOff>190500</xdr:rowOff>
    </xdr:from>
    <xdr:to>
      <xdr:col>46</xdr:col>
      <xdr:colOff>47625</xdr:colOff>
      <xdr:row>59</xdr:row>
      <xdr:rowOff>66675</xdr:rowOff>
    </xdr:to>
    <xdr:sp macro="" textlink="">
      <xdr:nvSpPr>
        <xdr:cNvPr id="89" name="Abgerundetes Rechteck 88"/>
        <xdr:cNvSpPr/>
      </xdr:nvSpPr>
      <xdr:spPr>
        <a:xfrm>
          <a:off x="1533525" y="7019925"/>
          <a:ext cx="390525" cy="704850"/>
        </a:xfrm>
        <a:prstGeom prst="roundRect">
          <a:avLst>
            <a:gd name="adj" fmla="val 0"/>
          </a:avLst>
        </a:prstGeom>
        <a:noFill/>
        <a:ln w="12700">
          <a:solidFill>
            <a:srgbClr val="00601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de-D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53</xdr:row>
          <xdr:rowOff>85725</xdr:rowOff>
        </xdr:from>
        <xdr:to>
          <xdr:col>13</xdr:col>
          <xdr:colOff>114300</xdr:colOff>
          <xdr:row>54</xdr:row>
          <xdr:rowOff>66675</xdr:rowOff>
        </xdr:to>
        <xdr:sp macro="" textlink="">
          <xdr:nvSpPr>
            <xdr:cNvPr id="4122" name="OptionButton4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57</xdr:row>
          <xdr:rowOff>76200</xdr:rowOff>
        </xdr:from>
        <xdr:to>
          <xdr:col>13</xdr:col>
          <xdr:colOff>114300</xdr:colOff>
          <xdr:row>58</xdr:row>
          <xdr:rowOff>57150</xdr:rowOff>
        </xdr:to>
        <xdr:sp macro="" textlink="">
          <xdr:nvSpPr>
            <xdr:cNvPr id="4123" name="OptionButton5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41</xdr:row>
          <xdr:rowOff>66675</xdr:rowOff>
        </xdr:from>
        <xdr:to>
          <xdr:col>45</xdr:col>
          <xdr:colOff>104775</xdr:colOff>
          <xdr:row>42</xdr:row>
          <xdr:rowOff>47625</xdr:rowOff>
        </xdr:to>
        <xdr:sp macro="" textlink="">
          <xdr:nvSpPr>
            <xdr:cNvPr id="4124" name="OptionButton6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45</xdr:row>
          <xdr:rowOff>66675</xdr:rowOff>
        </xdr:from>
        <xdr:to>
          <xdr:col>45</xdr:col>
          <xdr:colOff>104775</xdr:colOff>
          <xdr:row>46</xdr:row>
          <xdr:rowOff>47625</xdr:rowOff>
        </xdr:to>
        <xdr:sp macro="" textlink="">
          <xdr:nvSpPr>
            <xdr:cNvPr id="4125" name="OptionButton7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49</xdr:row>
          <xdr:rowOff>66675</xdr:rowOff>
        </xdr:from>
        <xdr:to>
          <xdr:col>45</xdr:col>
          <xdr:colOff>104775</xdr:colOff>
          <xdr:row>50</xdr:row>
          <xdr:rowOff>47625</xdr:rowOff>
        </xdr:to>
        <xdr:sp macro="" textlink="">
          <xdr:nvSpPr>
            <xdr:cNvPr id="4126" name="OptionButton8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53</xdr:row>
          <xdr:rowOff>85725</xdr:rowOff>
        </xdr:from>
        <xdr:to>
          <xdr:col>45</xdr:col>
          <xdr:colOff>104775</xdr:colOff>
          <xdr:row>54</xdr:row>
          <xdr:rowOff>66675</xdr:rowOff>
        </xdr:to>
        <xdr:sp macro="" textlink="">
          <xdr:nvSpPr>
            <xdr:cNvPr id="4127" name="OptionButton9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57</xdr:row>
          <xdr:rowOff>76200</xdr:rowOff>
        </xdr:from>
        <xdr:to>
          <xdr:col>45</xdr:col>
          <xdr:colOff>104775</xdr:colOff>
          <xdr:row>58</xdr:row>
          <xdr:rowOff>57150</xdr:rowOff>
        </xdr:to>
        <xdr:sp macro="" textlink="">
          <xdr:nvSpPr>
            <xdr:cNvPr id="4128" name="OptionButton10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123825</xdr:colOff>
          <xdr:row>2</xdr:row>
          <xdr:rowOff>47625</xdr:rowOff>
        </xdr:from>
        <xdr:to>
          <xdr:col>37</xdr:col>
          <xdr:colOff>123825</xdr:colOff>
          <xdr:row>2</xdr:row>
          <xdr:rowOff>209550</xdr:rowOff>
        </xdr:to>
        <xdr:sp macro="" textlink="">
          <xdr:nvSpPr>
            <xdr:cNvPr id="4129" name="OptionButton11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123825</xdr:colOff>
          <xdr:row>3</xdr:row>
          <xdr:rowOff>38100</xdr:rowOff>
        </xdr:from>
        <xdr:to>
          <xdr:col>38</xdr:col>
          <xdr:colOff>0</xdr:colOff>
          <xdr:row>3</xdr:row>
          <xdr:rowOff>228600</xdr:rowOff>
        </xdr:to>
        <xdr:sp macro="" textlink="">
          <xdr:nvSpPr>
            <xdr:cNvPr id="4130" name="OptionButton12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123825</xdr:colOff>
          <xdr:row>4</xdr:row>
          <xdr:rowOff>28575</xdr:rowOff>
        </xdr:from>
        <xdr:to>
          <xdr:col>38</xdr:col>
          <xdr:colOff>0</xdr:colOff>
          <xdr:row>4</xdr:row>
          <xdr:rowOff>219075</xdr:rowOff>
        </xdr:to>
        <xdr:sp macro="" textlink="">
          <xdr:nvSpPr>
            <xdr:cNvPr id="4131" name="OptionButton13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123825</xdr:colOff>
          <xdr:row>5</xdr:row>
          <xdr:rowOff>38100</xdr:rowOff>
        </xdr:from>
        <xdr:to>
          <xdr:col>38</xdr:col>
          <xdr:colOff>0</xdr:colOff>
          <xdr:row>5</xdr:row>
          <xdr:rowOff>228600</xdr:rowOff>
        </xdr:to>
        <xdr:sp macro="" textlink="">
          <xdr:nvSpPr>
            <xdr:cNvPr id="4132" name="OptionButton14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123825</xdr:colOff>
          <xdr:row>6</xdr:row>
          <xdr:rowOff>38100</xdr:rowOff>
        </xdr:from>
        <xdr:to>
          <xdr:col>38</xdr:col>
          <xdr:colOff>0</xdr:colOff>
          <xdr:row>6</xdr:row>
          <xdr:rowOff>228600</xdr:rowOff>
        </xdr:to>
        <xdr:sp macro="" textlink="">
          <xdr:nvSpPr>
            <xdr:cNvPr id="4133" name="OptionButton15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40</xdr:col>
      <xdr:colOff>114300</xdr:colOff>
      <xdr:row>2</xdr:row>
      <xdr:rowOff>104775</xdr:rowOff>
    </xdr:from>
    <xdr:to>
      <xdr:col>41</xdr:col>
      <xdr:colOff>95100</xdr:colOff>
      <xdr:row>9</xdr:row>
      <xdr:rowOff>161925</xdr:rowOff>
    </xdr:to>
    <xdr:sp macro="" textlink="">
      <xdr:nvSpPr>
        <xdr:cNvPr id="26" name="Freihandform 25"/>
        <xdr:cNvSpPr/>
      </xdr:nvSpPr>
      <xdr:spPr>
        <a:xfrm>
          <a:off x="6115050" y="485775"/>
          <a:ext cx="133200" cy="1295400"/>
        </a:xfrm>
        <a:custGeom>
          <a:avLst/>
          <a:gdLst>
            <a:gd name="connsiteX0" fmla="*/ 0 w 133350"/>
            <a:gd name="connsiteY0" fmla="*/ 0 h 971550"/>
            <a:gd name="connsiteX1" fmla="*/ 0 w 133350"/>
            <a:gd name="connsiteY1" fmla="*/ 971550 h 971550"/>
            <a:gd name="connsiteX2" fmla="*/ 133350 w 133350"/>
            <a:gd name="connsiteY2" fmla="*/ 971550 h 971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33350" h="971550">
              <a:moveTo>
                <a:pt x="0" y="0"/>
              </a:moveTo>
              <a:lnTo>
                <a:pt x="0" y="971550"/>
              </a:lnTo>
              <a:lnTo>
                <a:pt x="133350" y="971550"/>
              </a:lnTo>
            </a:path>
          </a:pathLst>
        </a:custGeom>
        <a:noFill/>
        <a:ln w="50800">
          <a:solidFill>
            <a:schemeClr val="bg1"/>
          </a:solidFill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65</xdr:col>
          <xdr:colOff>38100</xdr:colOff>
          <xdr:row>5</xdr:row>
          <xdr:rowOff>0</xdr:rowOff>
        </xdr:from>
        <xdr:to>
          <xdr:col>66</xdr:col>
          <xdr:colOff>47625</xdr:colOff>
          <xdr:row>6</xdr:row>
          <xdr:rowOff>0</xdr:rowOff>
        </xdr:to>
        <xdr:sp macro="" textlink="">
          <xdr:nvSpPr>
            <xdr:cNvPr id="4134" name="Spinner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55</xdr:col>
      <xdr:colOff>133349</xdr:colOff>
      <xdr:row>5</xdr:row>
      <xdr:rowOff>117225</xdr:rowOff>
    </xdr:from>
    <xdr:to>
      <xdr:col>56</xdr:col>
      <xdr:colOff>114149</xdr:colOff>
      <xdr:row>9</xdr:row>
      <xdr:rowOff>161925</xdr:rowOff>
    </xdr:to>
    <xdr:sp macro="" textlink="">
      <xdr:nvSpPr>
        <xdr:cNvPr id="70" name="Freihandform 69"/>
        <xdr:cNvSpPr/>
      </xdr:nvSpPr>
      <xdr:spPr>
        <a:xfrm>
          <a:off x="8420099" y="1241175"/>
          <a:ext cx="133200" cy="540000"/>
        </a:xfrm>
        <a:custGeom>
          <a:avLst/>
          <a:gdLst>
            <a:gd name="connsiteX0" fmla="*/ 0 w 133350"/>
            <a:gd name="connsiteY0" fmla="*/ 0 h 971550"/>
            <a:gd name="connsiteX1" fmla="*/ 0 w 133350"/>
            <a:gd name="connsiteY1" fmla="*/ 971550 h 971550"/>
            <a:gd name="connsiteX2" fmla="*/ 133350 w 133350"/>
            <a:gd name="connsiteY2" fmla="*/ 971550 h 971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33350" h="971550">
              <a:moveTo>
                <a:pt x="0" y="0"/>
              </a:moveTo>
              <a:lnTo>
                <a:pt x="0" y="971550"/>
              </a:lnTo>
              <a:lnTo>
                <a:pt x="133350" y="971550"/>
              </a:lnTo>
            </a:path>
          </a:pathLst>
        </a:custGeom>
        <a:noFill/>
        <a:ln w="50800">
          <a:solidFill>
            <a:schemeClr val="bg1"/>
          </a:solidFill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85725</xdr:colOff>
          <xdr:row>9</xdr:row>
          <xdr:rowOff>57150</xdr:rowOff>
        </xdr:from>
        <xdr:to>
          <xdr:col>59</xdr:col>
          <xdr:colOff>57150</xdr:colOff>
          <xdr:row>9</xdr:row>
          <xdr:rowOff>219075</xdr:rowOff>
        </xdr:to>
        <xdr:sp macro="" textlink="">
          <xdr:nvSpPr>
            <xdr:cNvPr id="4139" name="OptionButton16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85725</xdr:colOff>
          <xdr:row>11</xdr:row>
          <xdr:rowOff>66675</xdr:rowOff>
        </xdr:from>
        <xdr:to>
          <xdr:col>59</xdr:col>
          <xdr:colOff>76200</xdr:colOff>
          <xdr:row>11</xdr:row>
          <xdr:rowOff>219075</xdr:rowOff>
        </xdr:to>
        <xdr:sp macro="" textlink="">
          <xdr:nvSpPr>
            <xdr:cNvPr id="4140" name="OptionButton17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57150</xdr:rowOff>
        </xdr:from>
        <xdr:to>
          <xdr:col>33</xdr:col>
          <xdr:colOff>152400</xdr:colOff>
          <xdr:row>7</xdr:row>
          <xdr:rowOff>228600</xdr:rowOff>
        </xdr:to>
        <xdr:sp macro="" textlink="">
          <xdr:nvSpPr>
            <xdr:cNvPr id="4141" name="OptionButton18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123825</xdr:colOff>
          <xdr:row>7</xdr:row>
          <xdr:rowOff>47625</xdr:rowOff>
        </xdr:from>
        <xdr:to>
          <xdr:col>37</xdr:col>
          <xdr:colOff>123825</xdr:colOff>
          <xdr:row>7</xdr:row>
          <xdr:rowOff>228600</xdr:rowOff>
        </xdr:to>
        <xdr:sp macro="" textlink="">
          <xdr:nvSpPr>
            <xdr:cNvPr id="4142" name="OptionButton19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4</xdr:row>
      <xdr:rowOff>38100</xdr:rowOff>
    </xdr:from>
    <xdr:to>
      <xdr:col>8</xdr:col>
      <xdr:colOff>303965</xdr:colOff>
      <xdr:row>24</xdr:row>
      <xdr:rowOff>66196</xdr:rowOff>
    </xdr:to>
    <xdr:pic>
      <xdr:nvPicPr>
        <xdr:cNvPr id="25" name="Grafik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800100"/>
          <a:ext cx="6685715" cy="3838096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14</xdr:row>
      <xdr:rowOff>9525</xdr:rowOff>
    </xdr:from>
    <xdr:to>
      <xdr:col>8</xdr:col>
      <xdr:colOff>371475</xdr:colOff>
      <xdr:row>15</xdr:row>
      <xdr:rowOff>152400</xdr:rowOff>
    </xdr:to>
    <xdr:sp macro="" textlink="">
      <xdr:nvSpPr>
        <xdr:cNvPr id="23" name="Ellipse 22"/>
        <xdr:cNvSpPr/>
      </xdr:nvSpPr>
      <xdr:spPr>
        <a:xfrm>
          <a:off x="85725" y="2676525"/>
          <a:ext cx="7181850" cy="3333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9</xdr:col>
      <xdr:colOff>161925</xdr:colOff>
      <xdr:row>6</xdr:row>
      <xdr:rowOff>38100</xdr:rowOff>
    </xdr:from>
    <xdr:to>
      <xdr:col>11</xdr:col>
      <xdr:colOff>314045</xdr:colOff>
      <xdr:row>12</xdr:row>
      <xdr:rowOff>9386</xdr:rowOff>
    </xdr:to>
    <xdr:pic>
      <xdr:nvPicPr>
        <xdr:cNvPr id="26" name="Grafik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6175" y="1181100"/>
          <a:ext cx="2238095" cy="1114286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4</xdr:row>
      <xdr:rowOff>123825</xdr:rowOff>
    </xdr:from>
    <xdr:to>
      <xdr:col>17</xdr:col>
      <xdr:colOff>256886</xdr:colOff>
      <xdr:row>10</xdr:row>
      <xdr:rowOff>57016</xdr:rowOff>
    </xdr:to>
    <xdr:pic>
      <xdr:nvPicPr>
        <xdr:cNvPr id="27" name="Grafik 2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885825"/>
          <a:ext cx="2314286" cy="1076191"/>
        </a:xfrm>
        <a:prstGeom prst="rect">
          <a:avLst/>
        </a:prstGeom>
      </xdr:spPr>
    </xdr:pic>
    <xdr:clientData/>
  </xdr:twoCellAnchor>
  <xdr:twoCellAnchor editAs="oneCell">
    <xdr:from>
      <xdr:col>18</xdr:col>
      <xdr:colOff>123825</xdr:colOff>
      <xdr:row>4</xdr:row>
      <xdr:rowOff>28575</xdr:rowOff>
    </xdr:from>
    <xdr:to>
      <xdr:col>21</xdr:col>
      <xdr:colOff>161605</xdr:colOff>
      <xdr:row>10</xdr:row>
      <xdr:rowOff>85575</xdr:rowOff>
    </xdr:to>
    <xdr:pic>
      <xdr:nvPicPr>
        <xdr:cNvPr id="28" name="Grafik 2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030450" y="790575"/>
          <a:ext cx="2561905" cy="120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1581150</xdr:colOff>
      <xdr:row>4</xdr:row>
      <xdr:rowOff>85725</xdr:rowOff>
    </xdr:from>
    <xdr:to>
      <xdr:col>24</xdr:col>
      <xdr:colOff>1323692</xdr:colOff>
      <xdr:row>10</xdr:row>
      <xdr:rowOff>76058</xdr:rowOff>
    </xdr:to>
    <xdr:pic>
      <xdr:nvPicPr>
        <xdr:cNvPr id="29" name="Grafik 2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11900" y="847725"/>
          <a:ext cx="2266667" cy="1133333"/>
        </a:xfrm>
        <a:prstGeom prst="rect">
          <a:avLst/>
        </a:prstGeom>
      </xdr:spPr>
    </xdr:pic>
    <xdr:clientData/>
  </xdr:twoCellAnchor>
  <xdr:twoCellAnchor editAs="oneCell">
    <xdr:from>
      <xdr:col>25</xdr:col>
      <xdr:colOff>285750</xdr:colOff>
      <xdr:row>1</xdr:row>
      <xdr:rowOff>152400</xdr:rowOff>
    </xdr:from>
    <xdr:to>
      <xdr:col>27</xdr:col>
      <xdr:colOff>364672</xdr:colOff>
      <xdr:row>25</xdr:row>
      <xdr:rowOff>38100</xdr:rowOff>
    </xdr:to>
    <xdr:pic>
      <xdr:nvPicPr>
        <xdr:cNvPr id="31" name="Grafik 3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888450" y="342900"/>
          <a:ext cx="955222" cy="445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le2" displayName="Tabelle2" ref="A1:AT809" totalsRowShown="0" headerRowDxfId="53" dataDxfId="52" tableBorderDxfId="51">
  <autoFilter ref="A1:AT809">
    <filterColumn colId="20">
      <filters>
        <filter val="F-20 Faltklappenbeschlag"/>
      </filters>
    </filterColumn>
  </autoFilter>
  <tableColumns count="46">
    <tableColumn id="1" name="passt" dataDxfId="50">
      <calculatedColumnFormula>IF(F2+G2+H2+I2+J2+D2+E2=3,IF(Tabelle2[[#This Row],[Kappe Weiß]]=Limits!$R$29,1,""),"")</calculatedColumnFormula>
    </tableColumn>
    <tableColumn id="38" name="passt2" dataDxfId="49">
      <calculatedColumnFormula>IF(G2+H2+I2+J2+E2+F2=2,IF(Tabelle2[[#This Row],[Kappe Weiß]]=Limits!$R$29,1,""),"")</calculatedColumnFormula>
    </tableColumn>
    <tableColumn id="41" name="Kappe Weiß" dataDxfId="48"/>
    <tableColumn id="2" name="Typ" dataDxfId="47">
      <calculatedColumnFormula>IF(Limits!$P$4=TRUE,1,0)</calculatedColumnFormula>
    </tableColumn>
    <tableColumn id="3" name="Maße+Gewicht" dataDxfId="46">
      <calculatedColumnFormula>IF(Daten!$P2+Daten!$Q2+Daten!$S2=3,1,0)</calculatedColumnFormula>
    </tableColumn>
    <tableColumn id="4" name="s_holz" dataDxfId="45">
      <calculatedColumnFormula>IF(AND(Limits!$Q$21=TRUE,Daten!O2=1)=TRUE,1,0)</calculatedColumnFormula>
    </tableColumn>
    <tableColumn id="5" name="S_Alu17" dataDxfId="44">
      <calculatedColumnFormula>IF(AND(Limits!$Q$25=TRUE,Daten!N2=1)=TRUE,1,0)</calculatedColumnFormula>
    </tableColumn>
    <tableColumn id="6" name="S_Alu16" dataDxfId="43">
      <calculatedColumnFormula>IF(AND(Limits!$Q$24=TRUE,Daten!M2=1)=TRUE,1,0)</calculatedColumnFormula>
    </tableColumn>
    <tableColumn id="7" name="S_Alu14" dataDxfId="42">
      <calculatedColumnFormula>IF(AND(Limits!$Q$23=TRUE,Daten!L2=1)=TRUE,1,0)</calculatedColumnFormula>
    </tableColumn>
    <tableColumn id="8" name="S_Alu13" dataDxfId="41">
      <calculatedColumnFormula>IF(AND(Limits!$Q$22=TRUE,Daten!K2=1)=TRUE,1,0)</calculatedColumnFormula>
    </tableColumn>
    <tableColumn id="9" name="Alu 13" dataDxfId="40">
      <calculatedColumnFormula>IF(Daten!$V2=13,1,0)</calculatedColumnFormula>
    </tableColumn>
    <tableColumn id="10" name="Alu 14" dataDxfId="39">
      <calculatedColumnFormula>IF(Daten!$V2&lt;&gt;Daten!$W2,1,IF(Daten!$V2=14,1,0))</calculatedColumnFormula>
    </tableColumn>
    <tableColumn id="11" name="Alu 16" dataDxfId="38">
      <calculatedColumnFormula>IF(Daten!$V2&lt;&gt;Daten!$W2,1,IF(Daten!$V2=16,1,0))</calculatedColumnFormula>
    </tableColumn>
    <tableColumn id="12" name="Alu 17" dataDxfId="37">
      <calculatedColumnFormula>IF(Daten!$W2=17,1,0)</calculatedColumnFormula>
    </tableColumn>
    <tableColumn id="13" name="Holz" dataDxfId="36">
      <calculatedColumnFormula>IF(Daten!$X2=Sprache!$A$70,1,0)</calculatedColumnFormula>
    </tableColumn>
    <tableColumn id="18" name="Breite" dataDxfId="35">
      <calculatedColumnFormula>IF(AND(Daten!$AQ2&lt;=KINVARO!$AW$3,Daten!$AR2&gt;=KINVARO!$AW$3)=TRUE,1,0)</calculatedColumnFormula>
    </tableColumn>
    <tableColumn id="19" name="Höhe" dataDxfId="34">
      <calculatedColumnFormula>IF(AND(Daten!$AA2&lt;=KINVARO!$AW$4,Daten!$AB2&gt;=KINVARO!$AW$4)=TRUE,1,0)</calculatedColumnFormula>
    </tableColumn>
    <tableColumn id="20" name="Tiefe" dataDxfId="33"/>
    <tableColumn id="21" name="Gewicht" dataDxfId="32">
      <calculatedColumnFormula>IF(AND(Daten!$AD2&lt;=Limits!$I$70,Daten!$AE2&gt;=Limits!$I$70)=TRUE,1,0)</calculatedColumnFormula>
    </tableColumn>
    <tableColumn id="22" name="Werkzeuglos" dataDxfId="31">
      <calculatedColumnFormula>IF(Daten!$Y2=Sprache!$A$135,1,0)</calculatedColumnFormula>
    </tableColumn>
    <tableColumn id="14" name="Kinvaro" dataDxfId="30">
      <calculatedColumnFormula>Sprache!$A$69</calculatedColumnFormula>
    </tableColumn>
    <tableColumn id="15" name="von     Auflage" dataDxfId="29"/>
    <tableColumn id="16" name="bis" dataDxfId="28"/>
    <tableColumn id="17" name="Ausführung für" dataDxfId="27"/>
    <tableColumn id="23" name="Werkzeuglos2" dataDxfId="26">
      <calculatedColumnFormula>Sprache!$A$136</calculatedColumnFormula>
    </tableColumn>
    <tableColumn id="24" name="Höhe2" dataDxfId="25">
      <calculatedColumnFormula>Sprache!$A$79</calculatedColumnFormula>
    </tableColumn>
    <tableColumn id="25" name="min" dataDxfId="24"/>
    <tableColumn id="26" name="max" dataDxfId="23"/>
    <tableColumn id="27" name="Dicke" dataDxfId="22"/>
    <tableColumn id="28" name="min  Klappengewicht" dataDxfId="21"/>
    <tableColumn id="29" name="max      incl. Griff" dataDxfId="20"/>
    <tableColumn id="44" name="bnr p1" dataDxfId="19">
      <calculatedColumnFormula>MID(Tabelle2[[#This Row],[bnr full]],1,4)</calculatedColumnFormula>
    </tableColumn>
    <tableColumn id="43" name="bnr p2" dataDxfId="18">
      <calculatedColumnFormula>MID(Tabelle2[[#This Row],[bnr full]],5,3)</calculatedColumnFormula>
    </tableColumn>
    <tableColumn id="42" name="bnr p3" dataDxfId="17">
      <calculatedColumnFormula>MID(Tabelle2[[#This Row],[bnr full]],8,3)</calculatedColumnFormula>
    </tableColumn>
    <tableColumn id="46" name="bnr p4" dataDxfId="16">
      <calculatedColumnFormula>MID(Tabelle2[[#This Row],[bnr full]],11,3)</calculatedColumnFormula>
    </tableColumn>
    <tableColumn id="45" name="auto" dataDxfId="15">
      <calculatedColumnFormula>MID(Tabelle2[[#This Row],[bnr full]],11,3)</calculatedColumnFormula>
    </tableColumn>
    <tableColumn id="30" name="bnr full" dataDxfId="14"/>
    <tableColumn id="31" name="Seite" dataDxfId="13">
      <calculatedColumnFormula>Sprache!$A$111</calculatedColumnFormula>
    </tableColumn>
    <tableColumn id="32" name="Information" dataDxfId="12"/>
    <tableColumn id="33" name="Kraftmanagement" dataDxfId="11"/>
    <tableColumn id="34" name="Zubehör" dataDxfId="10"/>
    <tableColumn id="35" name="BestNr Zubehör" dataDxfId="9"/>
    <tableColumn id="36" name="min   Breite" dataDxfId="8"/>
    <tableColumn id="37" name="max Breite" dataDxfId="7"/>
    <tableColumn id="39" name="Scharnier" dataDxfId="6"/>
    <tableColumn id="40" name="Montageplatte" dataDxfId="5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1" name="Tabelle1" displayName="Tabelle1" ref="A1:H52" totalsRowShown="0">
  <autoFilter ref="A1:H52"/>
  <tableColumns count="8">
    <tableColumn id="1" name="Set Nr" dataDxfId="4"/>
    <tableColumn id="8" name="Nr a" dataDxfId="3">
      <calculatedColumnFormula>LEFT(Tabelle1[[#This Row],[Set Nr]],4)</calculatedColumnFormula>
    </tableColumn>
    <tableColumn id="7" name="Nr b" dataDxfId="2">
      <calculatedColumnFormula>MID(Tabelle1[[#This Row],[Set Nr]],5,3)</calculatedColumnFormula>
    </tableColumn>
    <tableColumn id="6" name="Nr c" dataDxfId="1">
      <calculatedColumnFormula>MID(Tabelle1[[#This Row],[Set Nr]],8,3)</calculatedColumnFormula>
    </tableColumn>
    <tableColumn id="2" name="TeilNr" dataDxfId="0"/>
    <tableColumn id="3" name="VPE"/>
    <tableColumn id="4" name="Bezeichnung">
      <calculatedColumnFormula>Sprache!A164</calculatedColumnFormula>
    </tableColumn>
    <tableColumn id="5" name="Teil Kommentar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.xml"/><Relationship Id="rId18" Type="http://schemas.openxmlformats.org/officeDocument/2006/relationships/control" Target="../activeX/activeX11.xml"/><Relationship Id="rId26" Type="http://schemas.openxmlformats.org/officeDocument/2006/relationships/control" Target="../activeX/activeX18.xml"/><Relationship Id="rId39" Type="http://schemas.openxmlformats.org/officeDocument/2006/relationships/ctrlProp" Target="../ctrlProps/ctrlProp10.xml"/><Relationship Id="rId21" Type="http://schemas.openxmlformats.org/officeDocument/2006/relationships/control" Target="../activeX/activeX14.xml"/><Relationship Id="rId34" Type="http://schemas.openxmlformats.org/officeDocument/2006/relationships/ctrlProp" Target="../ctrlProps/ctrlProp5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10.xml"/><Relationship Id="rId25" Type="http://schemas.openxmlformats.org/officeDocument/2006/relationships/control" Target="../activeX/activeX17.xml"/><Relationship Id="rId33" Type="http://schemas.openxmlformats.org/officeDocument/2006/relationships/ctrlProp" Target="../ctrlProps/ctrlProp4.xml"/><Relationship Id="rId38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control" Target="../activeX/activeX13.xml"/><Relationship Id="rId29" Type="http://schemas.openxmlformats.org/officeDocument/2006/relationships/image" Target="../media/image7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6.xml"/><Relationship Id="rId32" Type="http://schemas.openxmlformats.org/officeDocument/2006/relationships/ctrlProp" Target="../ctrlProps/ctrlProp3.xml"/><Relationship Id="rId37" Type="http://schemas.openxmlformats.org/officeDocument/2006/relationships/ctrlProp" Target="../ctrlProps/ctrlProp8.xml"/><Relationship Id="rId5" Type="http://schemas.openxmlformats.org/officeDocument/2006/relationships/image" Target="../media/image1.emf"/><Relationship Id="rId15" Type="http://schemas.openxmlformats.org/officeDocument/2006/relationships/control" Target="../activeX/activeX8.xml"/><Relationship Id="rId23" Type="http://schemas.openxmlformats.org/officeDocument/2006/relationships/control" Target="../activeX/activeX15.xml"/><Relationship Id="rId28" Type="http://schemas.openxmlformats.org/officeDocument/2006/relationships/control" Target="../activeX/activeX19.xml"/><Relationship Id="rId36" Type="http://schemas.openxmlformats.org/officeDocument/2006/relationships/ctrlProp" Target="../ctrlProps/ctrlProp7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2.xml"/><Relationship Id="rId31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7.xml"/><Relationship Id="rId22" Type="http://schemas.openxmlformats.org/officeDocument/2006/relationships/image" Target="../media/image5.emf"/><Relationship Id="rId27" Type="http://schemas.openxmlformats.org/officeDocument/2006/relationships/image" Target="../media/image6.emf"/><Relationship Id="rId30" Type="http://schemas.openxmlformats.org/officeDocument/2006/relationships/ctrlProp" Target="../ctrlProps/ctrlProp1.xml"/><Relationship Id="rId35" Type="http://schemas.openxmlformats.org/officeDocument/2006/relationships/ctrlProp" Target="../ctrlProps/ctrlProp6.xml"/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rass.at/" TargetMode="External"/><Relationship Id="rId21" Type="http://schemas.openxmlformats.org/officeDocument/2006/relationships/hyperlink" Target="http://www.grass.at/" TargetMode="External"/><Relationship Id="rId34" Type="http://schemas.openxmlformats.org/officeDocument/2006/relationships/hyperlink" Target="http://www.grass.at/fileadmin/downloads/DEU/Bedienungsanleitungen/Kinvaro/Kinvaro_S-35_Einbauanleitung_2_Generation.pdf" TargetMode="External"/><Relationship Id="rId42" Type="http://schemas.openxmlformats.org/officeDocument/2006/relationships/hyperlink" Target="http://www.grass.at/fileadmin/downloads/DEU/Bedienungsanleitungen/Kinvaro/Kinvaro_F-20_Einbauanleitung_2_Generation.pdf" TargetMode="External"/><Relationship Id="rId47" Type="http://schemas.openxmlformats.org/officeDocument/2006/relationships/hyperlink" Target="http://www.grass.at/" TargetMode="External"/><Relationship Id="rId50" Type="http://schemas.openxmlformats.org/officeDocument/2006/relationships/hyperlink" Target="http://www.grass.at/" TargetMode="External"/><Relationship Id="rId55" Type="http://schemas.openxmlformats.org/officeDocument/2006/relationships/hyperlink" Target="http://www.grass.at/" TargetMode="External"/><Relationship Id="rId63" Type="http://schemas.openxmlformats.org/officeDocument/2006/relationships/printerSettings" Target="../printerSettings/printerSettings3.bin"/><Relationship Id="rId7" Type="http://schemas.openxmlformats.org/officeDocument/2006/relationships/hyperlink" Target="http://www.grass.at/" TargetMode="External"/><Relationship Id="rId2" Type="http://schemas.openxmlformats.org/officeDocument/2006/relationships/hyperlink" Target="http://www.grass.at/fileadmin/downloads/DEU/Bedienungsanleitungen/Kinvaro/Kinvaro_S-35_Einbauanleitung_2_Generation.pdf" TargetMode="External"/><Relationship Id="rId16" Type="http://schemas.openxmlformats.org/officeDocument/2006/relationships/hyperlink" Target="http://www.grass.at/" TargetMode="External"/><Relationship Id="rId29" Type="http://schemas.openxmlformats.org/officeDocument/2006/relationships/hyperlink" Target="http://www.grass.at/" TargetMode="External"/><Relationship Id="rId11" Type="http://schemas.openxmlformats.org/officeDocument/2006/relationships/hyperlink" Target="http://www.grass.at/" TargetMode="External"/><Relationship Id="rId24" Type="http://schemas.openxmlformats.org/officeDocument/2006/relationships/hyperlink" Target="http://www.grass.at/" TargetMode="External"/><Relationship Id="rId32" Type="http://schemas.openxmlformats.org/officeDocument/2006/relationships/hyperlink" Target="http://www.grass.at/fileadmin/downloads/DEU/Bedienungsanleitungen/Kinvaro/Kinvaro_F-20_Einbauanleitung_2_Generation.pdf" TargetMode="External"/><Relationship Id="rId37" Type="http://schemas.openxmlformats.org/officeDocument/2006/relationships/hyperlink" Target="http://www.grass.at/" TargetMode="External"/><Relationship Id="rId40" Type="http://schemas.openxmlformats.org/officeDocument/2006/relationships/hyperlink" Target="http://www.grass.at/" TargetMode="External"/><Relationship Id="rId45" Type="http://schemas.openxmlformats.org/officeDocument/2006/relationships/hyperlink" Target="http://www.grass.at/" TargetMode="External"/><Relationship Id="rId53" Type="http://schemas.openxmlformats.org/officeDocument/2006/relationships/hyperlink" Target="http://www.grass.at/" TargetMode="External"/><Relationship Id="rId58" Type="http://schemas.openxmlformats.org/officeDocument/2006/relationships/hyperlink" Target="http://www.grass.at/" TargetMode="External"/><Relationship Id="rId5" Type="http://schemas.openxmlformats.org/officeDocument/2006/relationships/hyperlink" Target="http://www.grass.at/" TargetMode="External"/><Relationship Id="rId61" Type="http://schemas.openxmlformats.org/officeDocument/2006/relationships/hyperlink" Target="http://www.grass.at/fileadmin/downloads/DEU/Bedienungsanleitungen/Kinvaro/Kinvaro_S-35_Einbauanleitung_2_Generation.pdf" TargetMode="External"/><Relationship Id="rId19" Type="http://schemas.openxmlformats.org/officeDocument/2006/relationships/hyperlink" Target="http://www.grass.at/" TargetMode="External"/><Relationship Id="rId14" Type="http://schemas.openxmlformats.org/officeDocument/2006/relationships/hyperlink" Target="http://www.grass.at/" TargetMode="External"/><Relationship Id="rId22" Type="http://schemas.openxmlformats.org/officeDocument/2006/relationships/hyperlink" Target="http://www.grass.at/" TargetMode="External"/><Relationship Id="rId27" Type="http://schemas.openxmlformats.org/officeDocument/2006/relationships/hyperlink" Target="http://www.grass.at/" TargetMode="External"/><Relationship Id="rId30" Type="http://schemas.openxmlformats.org/officeDocument/2006/relationships/hyperlink" Target="http://www.grass.at/" TargetMode="External"/><Relationship Id="rId35" Type="http://schemas.openxmlformats.org/officeDocument/2006/relationships/hyperlink" Target="http://www.grass.at/" TargetMode="External"/><Relationship Id="rId43" Type="http://schemas.openxmlformats.org/officeDocument/2006/relationships/hyperlink" Target="http://www.grass.at/fileadmin/downloads/DEU/Bedienungsanleitungen/Kinvaro/Kinvaro_S-35_Einbauanleitung_2_Generation.pdf" TargetMode="External"/><Relationship Id="rId48" Type="http://schemas.openxmlformats.org/officeDocument/2006/relationships/hyperlink" Target="http://www.grass.at/" TargetMode="External"/><Relationship Id="rId56" Type="http://schemas.openxmlformats.org/officeDocument/2006/relationships/hyperlink" Target="http://www.grass.at/" TargetMode="External"/><Relationship Id="rId64" Type="http://schemas.openxmlformats.org/officeDocument/2006/relationships/vmlDrawing" Target="../drawings/vmlDrawing3.vml"/><Relationship Id="rId8" Type="http://schemas.openxmlformats.org/officeDocument/2006/relationships/hyperlink" Target="http://www.grass.at/" TargetMode="External"/><Relationship Id="rId51" Type="http://schemas.openxmlformats.org/officeDocument/2006/relationships/hyperlink" Target="http://www.grass.at/" TargetMode="External"/><Relationship Id="rId3" Type="http://schemas.openxmlformats.org/officeDocument/2006/relationships/hyperlink" Target="http://www.grass.at/fileadmin/downloads/DEU/Bedienungsanleitungen/Kinvaro/Kinvaro_L-80_Einbauanleitung_2._Generation.pdf" TargetMode="External"/><Relationship Id="rId12" Type="http://schemas.openxmlformats.org/officeDocument/2006/relationships/hyperlink" Target="http://www.grass.at/" TargetMode="External"/><Relationship Id="rId17" Type="http://schemas.openxmlformats.org/officeDocument/2006/relationships/hyperlink" Target="http://www.grass.at/" TargetMode="External"/><Relationship Id="rId25" Type="http://schemas.openxmlformats.org/officeDocument/2006/relationships/hyperlink" Target="http://www.grass.at/" TargetMode="External"/><Relationship Id="rId33" Type="http://schemas.openxmlformats.org/officeDocument/2006/relationships/hyperlink" Target="http://www.grass.at/fileadmin/downloads/DEU/Bedienungsanleitungen/Kinvaro/Kinvaro_L-80_Einbauanleitung_2._Generation.pdf" TargetMode="External"/><Relationship Id="rId38" Type="http://schemas.openxmlformats.org/officeDocument/2006/relationships/hyperlink" Target="http://www.grass.at/" TargetMode="External"/><Relationship Id="rId46" Type="http://schemas.openxmlformats.org/officeDocument/2006/relationships/hyperlink" Target="http://www.grass.at/" TargetMode="External"/><Relationship Id="rId59" Type="http://schemas.openxmlformats.org/officeDocument/2006/relationships/hyperlink" Target="http://www.grass.at/fileadmin/downloads/DEU/Bedienungsanleitungen/Kinvaro/Kinvaro_L-80_Einbauanleitung_2._Generation.pdf" TargetMode="External"/><Relationship Id="rId20" Type="http://schemas.openxmlformats.org/officeDocument/2006/relationships/hyperlink" Target="http://www.grass.at/" TargetMode="External"/><Relationship Id="rId41" Type="http://schemas.openxmlformats.org/officeDocument/2006/relationships/hyperlink" Target="http://www.grass.at/" TargetMode="External"/><Relationship Id="rId54" Type="http://schemas.openxmlformats.org/officeDocument/2006/relationships/hyperlink" Target="http://www.grass.at/" TargetMode="External"/><Relationship Id="rId62" Type="http://schemas.openxmlformats.org/officeDocument/2006/relationships/hyperlink" Target="http://www.grass.at/" TargetMode="External"/><Relationship Id="rId1" Type="http://schemas.openxmlformats.org/officeDocument/2006/relationships/hyperlink" Target="http://www.grass.at/fileadmin/downloads/DEU/Bedienungsanleitungen/Kinvaro/Kinvaro_F-20_Einbauanleitung_2_Generation.pdf" TargetMode="External"/><Relationship Id="rId6" Type="http://schemas.openxmlformats.org/officeDocument/2006/relationships/hyperlink" Target="http://www.grass.at/" TargetMode="External"/><Relationship Id="rId15" Type="http://schemas.openxmlformats.org/officeDocument/2006/relationships/hyperlink" Target="http://www.grass.at/" TargetMode="External"/><Relationship Id="rId23" Type="http://schemas.openxmlformats.org/officeDocument/2006/relationships/hyperlink" Target="http://www.grass.at/" TargetMode="External"/><Relationship Id="rId28" Type="http://schemas.openxmlformats.org/officeDocument/2006/relationships/hyperlink" Target="http://www.grass.at/" TargetMode="External"/><Relationship Id="rId36" Type="http://schemas.openxmlformats.org/officeDocument/2006/relationships/hyperlink" Target="http://www.grass.at/" TargetMode="External"/><Relationship Id="rId49" Type="http://schemas.openxmlformats.org/officeDocument/2006/relationships/hyperlink" Target="http://www.grass.at/" TargetMode="External"/><Relationship Id="rId57" Type="http://schemas.openxmlformats.org/officeDocument/2006/relationships/hyperlink" Target="http://www.grass.at/" TargetMode="External"/><Relationship Id="rId10" Type="http://schemas.openxmlformats.org/officeDocument/2006/relationships/hyperlink" Target="http://www.grass.at/" TargetMode="External"/><Relationship Id="rId31" Type="http://schemas.openxmlformats.org/officeDocument/2006/relationships/hyperlink" Target="http://www.grass.at/" TargetMode="External"/><Relationship Id="rId44" Type="http://schemas.openxmlformats.org/officeDocument/2006/relationships/hyperlink" Target="http://www.grass.at/fileadmin/downloads/DEU/Bedienungsanleitungen/Kinvaro/Kinvaro_L-80_Einbauanleitung_2._Generation.pdf" TargetMode="External"/><Relationship Id="rId52" Type="http://schemas.openxmlformats.org/officeDocument/2006/relationships/hyperlink" Target="http://dict.leo.org/rude/index_de.html" TargetMode="External"/><Relationship Id="rId60" Type="http://schemas.openxmlformats.org/officeDocument/2006/relationships/hyperlink" Target="http://www.grass.at/fileadmin/downloads/DEU/Bedienungsanleitungen/Kinvaro/Kinvaro_F-20_Einbauanleitung_2_Generation.pdf" TargetMode="External"/><Relationship Id="rId65" Type="http://schemas.openxmlformats.org/officeDocument/2006/relationships/comments" Target="../comments2.xml"/><Relationship Id="rId4" Type="http://schemas.openxmlformats.org/officeDocument/2006/relationships/hyperlink" Target="http://www.grass.at/" TargetMode="External"/><Relationship Id="rId9" Type="http://schemas.openxmlformats.org/officeDocument/2006/relationships/hyperlink" Target="http://www.grass.at/" TargetMode="External"/><Relationship Id="rId13" Type="http://schemas.openxmlformats.org/officeDocument/2006/relationships/hyperlink" Target="http://www.grass.at/" TargetMode="External"/><Relationship Id="rId18" Type="http://schemas.openxmlformats.org/officeDocument/2006/relationships/hyperlink" Target="http://www.grass.at/" TargetMode="External"/><Relationship Id="rId39" Type="http://schemas.openxmlformats.org/officeDocument/2006/relationships/hyperlink" Target="http://www.grass.a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hyperlink" Target="http://mydictionary.dyndns.org/dictionary/tr_de/de/translation/index.jsp?input=abanoz&amp;trans_direction=12&amp;res_mode=10" TargetMode="External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DC710"/>
  <sheetViews>
    <sheetView showGridLines="0" showRowColHeaders="0" tabSelected="1" zoomScaleNormal="100" workbookViewId="0"/>
  </sheetViews>
  <sheetFormatPr defaultColWidth="11.42578125" defaultRowHeight="15" outlineLevelRow="1" x14ac:dyDescent="0.25"/>
  <cols>
    <col min="1" max="1" width="3.140625" style="34" customWidth="1"/>
    <col min="2" max="14" width="2.28515625" customWidth="1"/>
    <col min="15" max="19" width="2.42578125" customWidth="1"/>
    <col min="20" max="20" width="2.140625" customWidth="1"/>
    <col min="21" max="22" width="2.42578125" customWidth="1"/>
    <col min="23" max="34" width="2.7109375" customWidth="1"/>
    <col min="35" max="47" width="2.28515625" customWidth="1"/>
    <col min="48" max="66" width="2.7109375" customWidth="1"/>
    <col min="67" max="68" width="2.28515625" customWidth="1"/>
    <col min="69" max="69" width="2.5703125" customWidth="1"/>
    <col min="70" max="70" width="2.5703125" style="34" customWidth="1"/>
    <col min="71" max="71" width="4.42578125" style="34" customWidth="1"/>
    <col min="72" max="72" width="22.28515625" style="34" customWidth="1"/>
    <col min="73" max="73" width="5" style="34" customWidth="1"/>
    <col min="74" max="77" width="11.42578125" style="34"/>
    <col min="78" max="78" width="12.7109375" style="34" bestFit="1" customWidth="1"/>
    <col min="79" max="79" width="11.42578125" style="34"/>
    <col min="80" max="80" width="17.7109375" style="34" customWidth="1"/>
    <col min="81" max="82" width="3.7109375" style="34" bestFit="1" customWidth="1"/>
    <col min="83" max="83" width="4.7109375" style="34" customWidth="1"/>
    <col min="84" max="84" width="39.85546875" style="34" bestFit="1" customWidth="1"/>
    <col min="85" max="107" width="11.42578125" style="34"/>
  </cols>
  <sheetData>
    <row r="1" spans="2:71" s="34" customFormat="1" x14ac:dyDescent="0.25"/>
    <row r="2" spans="2:71" x14ac:dyDescent="0.25">
      <c r="B2" s="13"/>
      <c r="C2" s="13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8" t="str">
        <f ca="1">Sprache!$A$72</f>
        <v>Исполнение под</v>
      </c>
      <c r="Y2" s="79"/>
      <c r="Z2" s="79"/>
      <c r="AA2" s="79"/>
      <c r="AB2" s="79"/>
      <c r="AC2" s="79"/>
      <c r="AD2" s="79"/>
      <c r="AE2" s="79"/>
      <c r="AF2" s="79"/>
      <c r="AG2" s="77"/>
      <c r="AH2" s="79"/>
      <c r="AI2" s="80"/>
      <c r="AJ2" s="80"/>
      <c r="AK2" s="80"/>
      <c r="AL2" s="77"/>
      <c r="AM2" s="77"/>
      <c r="AN2" s="79"/>
      <c r="AO2" s="79"/>
      <c r="AP2" s="79"/>
      <c r="AQ2" s="78" t="str">
        <f ca="1">Sprache!$A$79</f>
        <v>Створка</v>
      </c>
      <c r="AR2" s="79"/>
      <c r="AS2" s="79"/>
      <c r="AT2" s="79"/>
      <c r="AU2" s="79"/>
      <c r="AV2" s="77"/>
      <c r="AW2" s="373" t="s">
        <v>148</v>
      </c>
      <c r="AX2" s="373"/>
      <c r="AY2" s="373"/>
      <c r="AZ2" s="373"/>
      <c r="BA2" s="79"/>
      <c r="BB2" s="77"/>
      <c r="BC2" s="77"/>
      <c r="BD2" s="77"/>
      <c r="BE2" s="77"/>
      <c r="BF2" s="77"/>
      <c r="BG2" s="77"/>
      <c r="BH2" s="79"/>
      <c r="BI2" s="79"/>
      <c r="BJ2" s="79"/>
      <c r="BK2" s="79"/>
      <c r="BL2" s="79"/>
      <c r="BM2" s="79"/>
      <c r="BN2" s="79"/>
      <c r="BO2" s="79"/>
      <c r="BP2" s="36"/>
      <c r="BQ2" s="13"/>
      <c r="BS2" s="38"/>
    </row>
    <row r="3" spans="2:71" ht="19.5" customHeight="1" thickBot="1" x14ac:dyDescent="0.3">
      <c r="B3" s="13"/>
      <c r="C3" s="13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81" t="str">
        <f ca="1">Sprache!$A$70</f>
        <v>соединение с древесиной</v>
      </c>
      <c r="Y3" s="81"/>
      <c r="Z3" s="82"/>
      <c r="AA3" s="82"/>
      <c r="AB3" s="82"/>
      <c r="AC3" s="82"/>
      <c r="AD3" s="82"/>
      <c r="AE3" s="82"/>
      <c r="AF3" s="82"/>
      <c r="AG3" s="82"/>
      <c r="AH3" s="82"/>
      <c r="AI3" s="83"/>
      <c r="AJ3" s="82"/>
      <c r="AK3" s="82"/>
      <c r="AL3" s="82"/>
      <c r="AM3" s="77"/>
      <c r="AN3" s="77"/>
      <c r="AO3" s="77"/>
      <c r="AP3" s="77"/>
      <c r="AQ3" s="379" t="str">
        <f ca="1">Sprache!$A$82</f>
        <v>Ширина</v>
      </c>
      <c r="AR3" s="379"/>
      <c r="AS3" s="379"/>
      <c r="AT3" s="379"/>
      <c r="AU3" s="379"/>
      <c r="AV3" s="84"/>
      <c r="AW3" s="371">
        <v>700</v>
      </c>
      <c r="AX3" s="371"/>
      <c r="AY3" s="371"/>
      <c r="AZ3" s="371"/>
      <c r="BA3" s="85"/>
      <c r="BB3" s="85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13"/>
      <c r="BQ3" s="13"/>
    </row>
    <row r="4" spans="2:71" ht="19.5" customHeight="1" x14ac:dyDescent="0.25">
      <c r="B4" s="36"/>
      <c r="C4" s="36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86" t="str">
        <f ca="1">Sprache!$A$71</f>
        <v>алюминий 19 мм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355" t="str">
        <f ca="1">Sprache!$A$73</f>
        <v>Наложение в мм</v>
      </c>
      <c r="AJ4" s="365">
        <f ca="1">Sprache!$A$75</f>
        <v>13</v>
      </c>
      <c r="AK4" s="365"/>
      <c r="AL4" s="87"/>
      <c r="AM4" s="77"/>
      <c r="AN4" s="77"/>
      <c r="AO4" s="77"/>
      <c r="AP4" s="77"/>
      <c r="AQ4" s="379" t="str">
        <f ca="1">Sprache!$A$83</f>
        <v>Высота</v>
      </c>
      <c r="AR4" s="379"/>
      <c r="AS4" s="379"/>
      <c r="AT4" s="379"/>
      <c r="AU4" s="379"/>
      <c r="AV4" s="85"/>
      <c r="AW4" s="371">
        <v>799</v>
      </c>
      <c r="AX4" s="371"/>
      <c r="AY4" s="371"/>
      <c r="AZ4" s="371"/>
      <c r="BA4" s="85"/>
      <c r="BB4" s="85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13"/>
      <c r="BQ4" s="13"/>
    </row>
    <row r="5" spans="2:71" ht="19.5" customHeight="1" x14ac:dyDescent="0.25">
      <c r="B5" s="36"/>
      <c r="C5" s="36"/>
      <c r="D5" s="77"/>
      <c r="E5" s="381" t="s">
        <v>99</v>
      </c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7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356"/>
      <c r="AJ5" s="366">
        <f ca="1">Sprache!$A$76</f>
        <v>14</v>
      </c>
      <c r="AK5" s="366"/>
      <c r="AL5" s="87"/>
      <c r="AM5" s="77"/>
      <c r="AN5" s="77"/>
      <c r="AO5" s="77"/>
      <c r="AP5" s="77"/>
      <c r="AQ5" s="379" t="str">
        <f ca="1">Sprache!$A$84</f>
        <v>Толщина</v>
      </c>
      <c r="AR5" s="379"/>
      <c r="AS5" s="379"/>
      <c r="AT5" s="379"/>
      <c r="AU5" s="379"/>
      <c r="AV5" s="85"/>
      <c r="AW5" s="371">
        <v>19</v>
      </c>
      <c r="AX5" s="371"/>
      <c r="AY5" s="371"/>
      <c r="AZ5" s="371"/>
      <c r="BA5" s="85"/>
      <c r="BB5" s="85"/>
      <c r="BC5" s="77"/>
      <c r="BD5" s="77"/>
      <c r="BE5" s="77"/>
      <c r="BF5" s="78" t="str">
        <f ca="1">Sprache!$A$80</f>
        <v>Ручка</v>
      </c>
      <c r="BG5" s="77"/>
      <c r="BH5" s="77"/>
      <c r="BI5" s="77"/>
      <c r="BJ5" s="373" t="s">
        <v>148</v>
      </c>
      <c r="BK5" s="373"/>
      <c r="BL5" s="373"/>
      <c r="BM5" s="373"/>
      <c r="BN5" s="77"/>
      <c r="BO5" s="77"/>
      <c r="BP5" s="13"/>
      <c r="BQ5" s="13"/>
    </row>
    <row r="6" spans="2:71" ht="19.5" customHeight="1" x14ac:dyDescent="0.25">
      <c r="B6" s="13"/>
      <c r="C6" s="13"/>
      <c r="D6" s="88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1"/>
      <c r="W6" s="7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356"/>
      <c r="AJ6" s="366">
        <f ca="1">Sprache!$A$77</f>
        <v>16</v>
      </c>
      <c r="AK6" s="366"/>
      <c r="AL6" s="87"/>
      <c r="AM6" s="77"/>
      <c r="AN6" s="77"/>
      <c r="AO6" s="77"/>
      <c r="AP6" s="77"/>
      <c r="AQ6" s="379" t="str">
        <f ca="1">IF(Limits!K70=2,Sprache!$A$85&amp;"*",Sprache!$A$85)</f>
        <v>Материал</v>
      </c>
      <c r="AR6" s="379"/>
      <c r="AS6" s="379"/>
      <c r="AT6" s="379"/>
      <c r="AU6" s="379"/>
      <c r="AV6" s="85"/>
      <c r="AW6" s="85"/>
      <c r="AX6" s="85"/>
      <c r="AY6" s="85"/>
      <c r="AZ6" s="85"/>
      <c r="BA6" s="85"/>
      <c r="BB6" s="85"/>
      <c r="BC6" s="77"/>
      <c r="BD6" s="77"/>
      <c r="BE6" s="77"/>
      <c r="BF6" s="377" t="str">
        <f ca="1">Sprache!$A$81</f>
        <v>Длина</v>
      </c>
      <c r="BG6" s="377"/>
      <c r="BH6" s="377"/>
      <c r="BI6" s="378"/>
      <c r="BJ6" s="370">
        <v>700</v>
      </c>
      <c r="BK6" s="370"/>
      <c r="BL6" s="370"/>
      <c r="BM6" s="370"/>
      <c r="BN6" s="87"/>
      <c r="BO6" s="87"/>
      <c r="BP6" s="13"/>
      <c r="BQ6" s="13"/>
    </row>
    <row r="7" spans="2:71" ht="19.5" customHeight="1" thickBot="1" x14ac:dyDescent="0.3">
      <c r="B7" s="13"/>
      <c r="C7" s="13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356"/>
      <c r="AJ7" s="366">
        <f ca="1">Sprache!$A$78</f>
        <v>17</v>
      </c>
      <c r="AK7" s="366"/>
      <c r="AL7" s="87"/>
      <c r="AM7" s="77"/>
      <c r="AN7" s="77"/>
      <c r="AO7" s="77"/>
      <c r="AP7" s="77"/>
      <c r="AQ7" s="77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77"/>
      <c r="BD7" s="77"/>
      <c r="BE7" s="77"/>
      <c r="BF7" s="77"/>
      <c r="BG7" s="89"/>
      <c r="BH7" s="89"/>
      <c r="BI7" s="77"/>
      <c r="BJ7" s="77"/>
      <c r="BK7" s="77"/>
      <c r="BL7" s="77"/>
      <c r="BM7" s="77"/>
      <c r="BN7" s="77"/>
      <c r="BO7" s="89"/>
      <c r="BP7" s="33"/>
      <c r="BQ7" s="33"/>
    </row>
    <row r="8" spans="2:71" ht="19.5" customHeight="1" x14ac:dyDescent="0.25">
      <c r="B8" s="13"/>
      <c r="C8" s="13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337" t="str">
        <f ca="1">Sprache!A152</f>
        <v>За глуш ки</v>
      </c>
      <c r="Y8" s="337"/>
      <c r="Z8" s="337"/>
      <c r="AA8" s="337"/>
      <c r="AB8" s="337"/>
      <c r="AC8" s="337"/>
      <c r="AD8" s="337"/>
      <c r="AE8" s="336" t="str">
        <f ca="1">Sprache!A153</f>
        <v>бе́лый</v>
      </c>
      <c r="AF8" s="336"/>
      <c r="AG8" s="336"/>
      <c r="AH8" s="165"/>
      <c r="AI8" s="336" t="str">
        <f ca="1">Sprache!A154</f>
        <v>се́рый</v>
      </c>
      <c r="AJ8" s="336"/>
      <c r="AK8" s="336"/>
      <c r="AL8" s="164"/>
      <c r="AM8" s="77"/>
      <c r="AN8" s="77"/>
      <c r="AO8" s="77"/>
      <c r="AP8" s="77"/>
      <c r="AQ8" s="78" t="str">
        <f ca="1">Sprache!$A$86</f>
        <v>Вес</v>
      </c>
      <c r="AR8" s="89"/>
      <c r="AS8" s="90"/>
      <c r="AT8" s="89"/>
      <c r="AU8" s="89"/>
      <c r="AV8" s="89"/>
      <c r="AW8" s="89"/>
      <c r="AX8" s="89"/>
      <c r="AY8" s="89"/>
      <c r="AZ8" s="89"/>
      <c r="BA8" s="89"/>
      <c r="BB8" s="89"/>
      <c r="BC8" s="77"/>
      <c r="BD8" s="77"/>
      <c r="BE8" s="77"/>
      <c r="BF8" s="77"/>
      <c r="BG8" s="89"/>
      <c r="BH8" s="89"/>
      <c r="BI8" s="77"/>
      <c r="BJ8" s="77"/>
      <c r="BK8" s="77"/>
      <c r="BL8" s="77"/>
      <c r="BM8" s="77"/>
      <c r="BN8" s="77"/>
      <c r="BO8" s="89"/>
      <c r="BP8" s="33"/>
      <c r="BQ8" s="33"/>
    </row>
    <row r="9" spans="2:71" ht="19.5" customHeight="1" thickBot="1" x14ac:dyDescent="0.3">
      <c r="B9" s="13"/>
      <c r="C9" s="13"/>
      <c r="D9" s="77"/>
      <c r="E9" s="77"/>
      <c r="F9" s="77"/>
      <c r="G9" s="77"/>
      <c r="H9" s="77"/>
      <c r="I9" s="77"/>
      <c r="J9" s="77"/>
      <c r="K9" s="77"/>
      <c r="L9" s="77"/>
      <c r="M9" s="382" t="str">
        <f ca="1">Sprache!$A$4</f>
        <v>Язык</v>
      </c>
      <c r="N9" s="383"/>
      <c r="O9" s="383"/>
      <c r="P9" s="383"/>
      <c r="Q9" s="383"/>
      <c r="R9" s="91"/>
      <c r="S9" s="92"/>
      <c r="T9" s="92"/>
      <c r="U9" s="92"/>
      <c r="V9" s="93"/>
      <c r="W9" s="77"/>
      <c r="X9" s="367" t="str">
        <f>IF(Limits!K70=2,Sprache!A89,"")</f>
        <v/>
      </c>
      <c r="Y9" s="367"/>
      <c r="Z9" s="367"/>
      <c r="AA9" s="367"/>
      <c r="AB9" s="367"/>
      <c r="AC9" s="367"/>
      <c r="AD9" s="367"/>
      <c r="AE9" s="367"/>
      <c r="AF9" s="367"/>
      <c r="AG9" s="367"/>
      <c r="AH9" s="367"/>
      <c r="AI9" s="367"/>
      <c r="AJ9" s="367"/>
      <c r="AK9" s="367"/>
      <c r="AL9" s="367"/>
      <c r="AM9" s="77"/>
      <c r="AN9" s="77"/>
      <c r="AO9" s="77"/>
      <c r="AP9" s="77"/>
      <c r="AQ9" s="368" t="str">
        <f ca="1">Sprache!$A$101</f>
        <v>Рассчитанный вес:</v>
      </c>
      <c r="AR9" s="368"/>
      <c r="AS9" s="368"/>
      <c r="AT9" s="368"/>
      <c r="AU9" s="368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33"/>
      <c r="BQ9" s="33"/>
    </row>
    <row r="10" spans="2:71" ht="19.5" customHeight="1" thickTop="1" thickBot="1" x14ac:dyDescent="0.3">
      <c r="B10" s="13"/>
      <c r="C10" s="13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77"/>
      <c r="AN10" s="77"/>
      <c r="AO10" s="77"/>
      <c r="AP10" s="77"/>
      <c r="AQ10" s="369"/>
      <c r="AR10" s="369"/>
      <c r="AS10" s="369"/>
      <c r="AT10" s="369"/>
      <c r="AU10" s="369"/>
      <c r="AV10" s="94"/>
      <c r="AW10" s="372">
        <f ca="1">Limits!D69</f>
        <v>26.57</v>
      </c>
      <c r="AX10" s="372"/>
      <c r="AY10" s="372"/>
      <c r="AZ10" s="372"/>
      <c r="BA10" s="95"/>
      <c r="BB10" s="94"/>
      <c r="BC10" s="94"/>
      <c r="BD10" s="94"/>
      <c r="BE10" s="94"/>
      <c r="BF10" s="94"/>
      <c r="BG10" s="94"/>
      <c r="BH10" s="94"/>
      <c r="BI10" s="94"/>
      <c r="BJ10" s="376">
        <f>BJ6*0.1/100*1000</f>
        <v>700</v>
      </c>
      <c r="BK10" s="376"/>
      <c r="BL10" s="376"/>
      <c r="BM10" s="376"/>
      <c r="BN10" s="94"/>
      <c r="BO10" s="94"/>
      <c r="BP10" s="55"/>
      <c r="BQ10" s="13"/>
    </row>
    <row r="11" spans="2:71" ht="19.5" customHeight="1" thickTop="1" thickBot="1" x14ac:dyDescent="0.3">
      <c r="B11" s="13"/>
      <c r="C11" s="13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77"/>
      <c r="AN11" s="77"/>
      <c r="AO11" s="77"/>
      <c r="AP11" s="77"/>
      <c r="AQ11" s="368" t="str">
        <f ca="1">Sprache!$A$102</f>
        <v>Ручной ввод:</v>
      </c>
      <c r="AR11" s="368"/>
      <c r="AS11" s="368"/>
      <c r="AT11" s="368"/>
      <c r="AU11" s="368"/>
      <c r="AV11" s="85"/>
      <c r="AW11" s="96"/>
      <c r="AX11" s="96"/>
      <c r="AY11" s="96"/>
      <c r="AZ11" s="96"/>
      <c r="BA11" s="97"/>
      <c r="BB11" s="85"/>
      <c r="BC11" s="85"/>
      <c r="BD11" s="85"/>
      <c r="BE11" s="85"/>
      <c r="BF11" s="85"/>
      <c r="BG11" s="85"/>
      <c r="BH11" s="85"/>
      <c r="BI11" s="85"/>
      <c r="BJ11" s="98"/>
      <c r="BK11" s="98"/>
      <c r="BL11" s="98"/>
      <c r="BM11" s="98"/>
      <c r="BN11" s="85"/>
      <c r="BO11" s="85"/>
      <c r="BP11" s="57"/>
      <c r="BQ11" s="13"/>
    </row>
    <row r="12" spans="2:71" ht="19.5" customHeight="1" thickBot="1" x14ac:dyDescent="0.3">
      <c r="B12" s="13"/>
      <c r="C12" s="13"/>
      <c r="D12" s="375">
        <f ca="1">Daten!A812</f>
        <v>2</v>
      </c>
      <c r="E12" s="375"/>
      <c r="F12" s="385" t="str">
        <f ca="1">IF(D12=1,Sprache!$A$91 &amp; " "&amp; Limits!$P$2,Sprache!$A$90 &amp; " "&amp; Limits!$P$2)</f>
        <v>Решения с F-20</v>
      </c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6"/>
      <c r="U12" s="360" t="s">
        <v>582</v>
      </c>
      <c r="V12" s="361"/>
      <c r="W12" s="7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  <c r="AM12" s="77"/>
      <c r="AN12" s="77"/>
      <c r="AO12" s="77"/>
      <c r="AP12" s="99"/>
      <c r="AQ12" s="369"/>
      <c r="AR12" s="369"/>
      <c r="AS12" s="369"/>
      <c r="AT12" s="369"/>
      <c r="AU12" s="369"/>
      <c r="AV12" s="85"/>
      <c r="AW12" s="345">
        <v>9</v>
      </c>
      <c r="AX12" s="346"/>
      <c r="AY12" s="346"/>
      <c r="AZ12" s="347"/>
      <c r="BA12" s="85"/>
      <c r="BB12" s="85"/>
      <c r="BC12" s="85"/>
      <c r="BD12" s="85"/>
      <c r="BE12" s="85"/>
      <c r="BF12" s="85"/>
      <c r="BG12" s="85"/>
      <c r="BH12" s="85"/>
      <c r="BI12" s="85"/>
      <c r="BJ12" s="362">
        <v>200</v>
      </c>
      <c r="BK12" s="363"/>
      <c r="BL12" s="363"/>
      <c r="BM12" s="364"/>
      <c r="BN12" s="85"/>
      <c r="BO12" s="85"/>
      <c r="BP12" s="56"/>
      <c r="BQ12" s="13"/>
    </row>
    <row r="13" spans="2:71" ht="19.5" customHeight="1" thickTop="1" thickBot="1" x14ac:dyDescent="0.3">
      <c r="B13" s="13"/>
      <c r="C13" s="13"/>
      <c r="D13" s="374">
        <f ca="1">Daten!B812</f>
        <v>2</v>
      </c>
      <c r="E13" s="374"/>
      <c r="F13" s="384" t="str">
        <f ca="1">IF(D13=1,Sprache!$A$91 &amp; " KINVARO " &amp; Sprache!$A$92,Sprache!$A$90 &amp; " KINVARO " &amp; Sprache!$A$92)</f>
        <v>Решения с KINVARO фурнитурой</v>
      </c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60" t="s">
        <v>582</v>
      </c>
      <c r="V13" s="361"/>
      <c r="W13" s="77"/>
      <c r="X13" s="367"/>
      <c r="Y13" s="367"/>
      <c r="Z13" s="367"/>
      <c r="AA13" s="367"/>
      <c r="AB13" s="367"/>
      <c r="AC13" s="367"/>
      <c r="AD13" s="367"/>
      <c r="AE13" s="367"/>
      <c r="AF13" s="367"/>
      <c r="AG13" s="367"/>
      <c r="AH13" s="367"/>
      <c r="AI13" s="367"/>
      <c r="AJ13" s="367"/>
      <c r="AK13" s="367"/>
      <c r="AL13" s="367"/>
      <c r="AM13" s="77"/>
      <c r="AN13" s="77"/>
      <c r="AO13" s="77"/>
      <c r="AP13" s="99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1" t="str">
        <f ca="1">Sprache!$A$103</f>
        <v>Всего:</v>
      </c>
      <c r="BB13" s="380">
        <f>Limits!I70</f>
        <v>9.6999999999999993</v>
      </c>
      <c r="BC13" s="380"/>
      <c r="BD13" s="380"/>
      <c r="BE13" s="380"/>
      <c r="BF13" s="380"/>
      <c r="BG13" s="100"/>
      <c r="BH13" s="100"/>
      <c r="BI13" s="100"/>
      <c r="BJ13" s="100"/>
      <c r="BK13" s="100"/>
      <c r="BL13" s="100"/>
      <c r="BM13" s="100"/>
      <c r="BN13" s="100"/>
      <c r="BO13" s="100"/>
      <c r="BP13" s="37"/>
      <c r="BQ13" s="13"/>
    </row>
    <row r="14" spans="2:71" ht="19.5" customHeight="1" thickBot="1" x14ac:dyDescent="0.3">
      <c r="B14" s="13"/>
      <c r="C14" s="13"/>
      <c r="D14" s="102" t="str">
        <f ca="1">Sprache!$A$104</f>
        <v>Рекомендация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103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104"/>
      <c r="AI14" s="104"/>
      <c r="AJ14" s="99"/>
      <c r="AK14" s="99"/>
      <c r="AL14" s="99"/>
      <c r="AM14" s="99"/>
      <c r="AN14" s="99"/>
      <c r="AO14" s="99"/>
      <c r="AP14" s="99"/>
      <c r="AQ14" s="105" t="str">
        <f>IF(AND(AND($AW$3&gt;=Limits!K9,$AW$3&lt;=Limits!L9),AND(AW4&gt;=Limits!K10,AW4&lt;=Limits!L10))=FALSE,Sprache!A87,IF(AND(BB13&gt;=Limits!K12,BB13&lt;=Limits!L12)=FALSE,Sprache!$A$88,""))</f>
        <v/>
      </c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99"/>
      <c r="BD14" s="99"/>
      <c r="BE14" s="99"/>
      <c r="BF14" s="99"/>
      <c r="BG14" s="99"/>
      <c r="BH14" s="99"/>
      <c r="BI14" s="99"/>
      <c r="BJ14" s="99"/>
      <c r="BK14" s="99"/>
      <c r="BL14" s="77"/>
      <c r="BM14" s="77"/>
      <c r="BN14" s="77"/>
      <c r="BO14" s="77"/>
      <c r="BP14" s="13"/>
      <c r="BQ14" s="13"/>
    </row>
    <row r="15" spans="2:71" ht="19.5" customHeight="1" thickTop="1" x14ac:dyDescent="0.25">
      <c r="B15" s="13"/>
      <c r="C15" s="13"/>
      <c r="D15" s="357" t="str">
        <f ca="1">IFERROR(Sprache!$A$95&amp;":      KINVARO "&amp; Limits!B143 &amp;", " &amp;Sprache!$A$93 &amp; " " &amp;Limits!J145 &amp;" mm, "&amp;  IF( Limits!F143&lt;&gt;"-", Limits!F143 &amp;", ","") &amp;Sprache!$A$94 &amp;" " &amp;Limits!$L$145 &amp;", "&amp; Sprache!$A$151,"")</f>
        <v>Фурнитура:      KINVARO F-20 Складной подъемник, Высота корпуса 750 - 800 mm, Направляющий рычаг, тип 7, Вес створки 6 kg  - 15,6 kg, Возможна промышленная упаковка</v>
      </c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9"/>
      <c r="BP15" s="13"/>
      <c r="BQ15" s="13"/>
    </row>
    <row r="16" spans="2:71" ht="20.25" customHeight="1" x14ac:dyDescent="0.25">
      <c r="B16" s="13"/>
      <c r="C16" s="13"/>
      <c r="D16" s="353" t="str">
        <f ca="1">IFERROR(Sprache!$A$108&amp; " : ","")</f>
        <v xml:space="preserve">Артикул № : </v>
      </c>
      <c r="E16" s="354"/>
      <c r="F16" s="354"/>
      <c r="G16" s="354"/>
      <c r="H16" s="354"/>
      <c r="I16" s="354"/>
      <c r="J16" s="354"/>
      <c r="K16" s="354"/>
      <c r="L16" s="354"/>
      <c r="M16" s="354"/>
      <c r="N16" s="354"/>
      <c r="O16" s="342" t="str">
        <f ca="1">IFERROR(Limits!$D$144,"")</f>
        <v>F152</v>
      </c>
      <c r="P16" s="342"/>
      <c r="Q16" s="343" t="str">
        <f ca="1">IFERROR(Limits!$D$145,"")</f>
        <v>145</v>
      </c>
      <c r="R16" s="343"/>
      <c r="S16" s="342" t="str">
        <f ca="1">IFERROR(Limits!$D$146,"")</f>
        <v>246</v>
      </c>
      <c r="T16" s="342"/>
      <c r="U16" s="341" t="str">
        <f ca="1">IFERROR(Limits!$D$147,"")</f>
        <v>201</v>
      </c>
      <c r="V16" s="341"/>
      <c r="W16" s="166" t="str">
        <f ca="1">IFERROR(Limits!$N$145,"")</f>
        <v/>
      </c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7"/>
      <c r="BP16" s="13"/>
      <c r="BQ16" s="13"/>
    </row>
    <row r="17" spans="1:107" ht="20.25" customHeight="1" thickBot="1" x14ac:dyDescent="0.3">
      <c r="B17" s="13"/>
      <c r="C17" s="13"/>
      <c r="D17" s="106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 t="str">
        <f ca="1">IFERROR(IF(Limits!P143=0,"",Sprache!$A$97&amp;" "&amp;Limits!P143 &amp;" "&amp;Sprache!A99&amp;" "&amp;Limits!Q143),"")</f>
        <v>Мы рекомендуем: TIOMOS 120° Шарнир и 1D° Монтажная плита</v>
      </c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8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9"/>
      <c r="BP17" s="13"/>
      <c r="BQ17" s="13"/>
    </row>
    <row r="18" spans="1:107" ht="6" customHeight="1" thickTop="1" x14ac:dyDescent="0.25">
      <c r="B18" s="13"/>
      <c r="C18" s="13"/>
      <c r="D18" s="348"/>
      <c r="E18" s="348"/>
      <c r="F18" s="348"/>
      <c r="G18" s="348"/>
      <c r="H18" s="348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A18" s="348"/>
      <c r="AB18" s="348"/>
      <c r="AC18" s="348"/>
      <c r="AD18" s="348"/>
      <c r="AE18" s="348"/>
      <c r="AF18" s="348"/>
      <c r="AG18" s="348"/>
      <c r="AH18" s="348"/>
      <c r="AI18" s="348"/>
      <c r="AJ18" s="348"/>
      <c r="AK18" s="348"/>
      <c r="AL18" s="348"/>
      <c r="AM18" s="348"/>
      <c r="AN18" s="348"/>
      <c r="AO18" s="348"/>
      <c r="AP18" s="348"/>
      <c r="AQ18" s="348"/>
      <c r="AR18" s="348"/>
      <c r="AS18" s="348"/>
      <c r="AT18" s="348"/>
      <c r="AU18" s="348"/>
      <c r="AV18" s="348"/>
      <c r="AW18" s="348"/>
      <c r="AX18" s="348"/>
      <c r="AY18" s="348"/>
      <c r="AZ18" s="348"/>
      <c r="BA18" s="348"/>
      <c r="BB18" s="348"/>
      <c r="BC18" s="348"/>
      <c r="BD18" s="348"/>
      <c r="BE18" s="348"/>
      <c r="BF18" s="348"/>
      <c r="BG18" s="348"/>
      <c r="BH18" s="348"/>
      <c r="BI18" s="348"/>
      <c r="BJ18" s="348"/>
      <c r="BK18" s="348"/>
      <c r="BL18" s="348"/>
      <c r="BM18" s="348"/>
      <c r="BN18" s="348"/>
      <c r="BO18" s="348"/>
      <c r="BP18" s="13"/>
      <c r="BQ18" s="13"/>
    </row>
    <row r="19" spans="1:107" s="117" customFormat="1" ht="14.25" hidden="1" customHeight="1" outlineLevel="1" thickTop="1" x14ac:dyDescent="0.25">
      <c r="A19" s="34"/>
      <c r="B19" s="13"/>
      <c r="C19" s="13"/>
      <c r="D19" s="306">
        <f ca="1">Sprache!A156</f>
        <v>0</v>
      </c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/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09"/>
      <c r="BG19" s="309"/>
      <c r="BH19" s="309"/>
      <c r="BI19" s="309"/>
      <c r="BJ19" s="309"/>
      <c r="BK19" s="309"/>
      <c r="BL19" s="309"/>
      <c r="BM19" s="309"/>
      <c r="BN19" s="309"/>
      <c r="BO19" s="310"/>
      <c r="BP19" s="13"/>
      <c r="BQ19" s="13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</row>
    <row r="20" spans="1:107" s="117" customFormat="1" ht="8.25" hidden="1" customHeight="1" outlineLevel="1" x14ac:dyDescent="0.25">
      <c r="A20" s="34"/>
      <c r="B20" s="13"/>
      <c r="C20" s="13"/>
      <c r="D20" s="311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8"/>
      <c r="AE20" s="308"/>
      <c r="AF20" s="308"/>
      <c r="AG20" s="308"/>
      <c r="AH20" s="308"/>
      <c r="AI20" s="308"/>
      <c r="AJ20" s="308"/>
      <c r="AK20" s="308"/>
      <c r="AL20" s="308"/>
      <c r="AM20" s="308"/>
      <c r="AN20" s="308"/>
      <c r="AO20" s="308"/>
      <c r="AP20" s="308"/>
      <c r="AQ20" s="308"/>
      <c r="AR20" s="308"/>
      <c r="AS20" s="308"/>
      <c r="AT20" s="308"/>
      <c r="AU20" s="308"/>
      <c r="AV20" s="308"/>
      <c r="AW20" s="308"/>
      <c r="AX20" s="308"/>
      <c r="AY20" s="308"/>
      <c r="AZ20" s="308"/>
      <c r="BA20" s="308"/>
      <c r="BB20" s="308"/>
      <c r="BC20" s="308"/>
      <c r="BD20" s="308"/>
      <c r="BE20" s="308"/>
      <c r="BF20" s="308"/>
      <c r="BG20" s="308"/>
      <c r="BH20" s="308"/>
      <c r="BI20" s="308"/>
      <c r="BJ20" s="308"/>
      <c r="BK20" s="308"/>
      <c r="BL20" s="308"/>
      <c r="BM20" s="308"/>
      <c r="BN20" s="308"/>
      <c r="BO20" s="312"/>
      <c r="BP20" s="13"/>
      <c r="BQ20" s="13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</row>
    <row r="21" spans="1:107" s="117" customFormat="1" ht="14.25" hidden="1" customHeight="1" outlineLevel="1" x14ac:dyDescent="0.25">
      <c r="A21" s="34"/>
      <c r="B21" s="13"/>
      <c r="C21" s="13"/>
      <c r="D21" s="311"/>
      <c r="E21" s="314">
        <f ca="1">Sprache!A157</f>
        <v>0</v>
      </c>
      <c r="F21" s="314"/>
      <c r="G21" s="314"/>
      <c r="H21" s="314"/>
      <c r="I21" s="314"/>
      <c r="J21" s="314"/>
      <c r="K21" s="314">
        <f ca="1">Sprache!A159</f>
        <v>0</v>
      </c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5"/>
      <c r="AS21" s="314"/>
      <c r="AT21" s="314"/>
      <c r="AU21" s="314"/>
      <c r="AV21" s="314"/>
      <c r="AW21" s="314"/>
      <c r="AX21" s="314"/>
      <c r="AY21" s="314"/>
      <c r="AZ21" s="314"/>
      <c r="BA21" s="314"/>
      <c r="BB21" s="314"/>
      <c r="BC21" s="314"/>
      <c r="BD21" s="314"/>
      <c r="BE21" s="314"/>
      <c r="BF21" s="314"/>
      <c r="BG21" s="314"/>
      <c r="BH21" s="314"/>
      <c r="BI21" s="314"/>
      <c r="BJ21" s="314"/>
      <c r="BK21" s="314"/>
      <c r="BL21" s="314"/>
      <c r="BM21" s="314"/>
      <c r="BN21" s="314"/>
      <c r="BO21" s="316">
        <f ca="1">Sprache!A158</f>
        <v>0</v>
      </c>
      <c r="BP21" s="13"/>
      <c r="BQ21" s="13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</row>
    <row r="22" spans="1:107" s="117" customFormat="1" ht="14.25" hidden="1" customHeight="1" outlineLevel="1" x14ac:dyDescent="0.25">
      <c r="A22" s="34"/>
      <c r="B22" s="13"/>
      <c r="C22" s="13"/>
      <c r="D22" s="311"/>
      <c r="E22" s="308" t="str">
        <f ca="1">Limits!B155</f>
        <v/>
      </c>
      <c r="F22" s="308"/>
      <c r="G22" s="308"/>
      <c r="H22" s="308"/>
      <c r="I22" s="308"/>
      <c r="J22" s="308"/>
      <c r="K22" s="308" t="str">
        <f ca="1">IFERROR(IF(Limits!D155=0,"",Limits!D155),"")</f>
        <v/>
      </c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  <c r="BC22" s="308"/>
      <c r="BD22" s="308"/>
      <c r="BE22" s="308"/>
      <c r="BF22" s="308"/>
      <c r="BG22" s="308"/>
      <c r="BH22" s="308"/>
      <c r="BI22" s="308"/>
      <c r="BJ22" s="308"/>
      <c r="BK22" s="308"/>
      <c r="BL22" s="308"/>
      <c r="BM22" s="308"/>
      <c r="BN22" s="349" t="str">
        <f ca="1">Limits!C155</f>
        <v/>
      </c>
      <c r="BO22" s="350"/>
      <c r="BP22" s="13"/>
      <c r="BQ22" s="13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</row>
    <row r="23" spans="1:107" s="117" customFormat="1" ht="14.25" hidden="1" customHeight="1" outlineLevel="1" x14ac:dyDescent="0.25">
      <c r="A23" s="34"/>
      <c r="B23" s="13"/>
      <c r="C23" s="13"/>
      <c r="D23" s="311"/>
      <c r="E23" s="308" t="str">
        <f ca="1">Limits!B156</f>
        <v/>
      </c>
      <c r="F23" s="308"/>
      <c r="G23" s="308"/>
      <c r="H23" s="308"/>
      <c r="I23" s="308"/>
      <c r="J23" s="308"/>
      <c r="K23" s="308" t="str">
        <f>IFERROR(IF(Limits!D156=0,"",Limits!D156),"")</f>
        <v/>
      </c>
      <c r="L23" s="308"/>
      <c r="M23" s="308"/>
      <c r="N23" s="308"/>
      <c r="O23" s="308"/>
      <c r="P23" s="308"/>
      <c r="Q23" s="308"/>
      <c r="R23" s="308"/>
      <c r="S23" s="308"/>
      <c r="T23" s="308"/>
      <c r="U23" s="308"/>
      <c r="V23" s="308"/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49" t="str">
        <f ca="1">Limits!C156</f>
        <v/>
      </c>
      <c r="BO23" s="350"/>
      <c r="BP23" s="13"/>
      <c r="BQ23" s="13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</row>
    <row r="24" spans="1:107" s="117" customFormat="1" ht="14.25" hidden="1" customHeight="1" outlineLevel="1" x14ac:dyDescent="0.25">
      <c r="A24" s="34"/>
      <c r="B24" s="13"/>
      <c r="C24" s="13"/>
      <c r="D24" s="311"/>
      <c r="E24" s="308" t="str">
        <f ca="1">Limits!B157</f>
        <v/>
      </c>
      <c r="F24" s="308"/>
      <c r="G24" s="308"/>
      <c r="H24" s="308"/>
      <c r="I24" s="308"/>
      <c r="J24" s="308"/>
      <c r="K24" s="308" t="str">
        <f>IFERROR(IF(Limits!D157=0,"",Limits!D157),"")</f>
        <v/>
      </c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49" t="str">
        <f ca="1">Limits!C157</f>
        <v/>
      </c>
      <c r="BO24" s="350"/>
      <c r="BP24" s="13"/>
      <c r="BQ24" s="13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</row>
    <row r="25" spans="1:107" s="117" customFormat="1" ht="14.25" hidden="1" customHeight="1" outlineLevel="1" x14ac:dyDescent="0.25">
      <c r="A25" s="34"/>
      <c r="B25" s="13"/>
      <c r="C25" s="13"/>
      <c r="D25" s="311"/>
      <c r="E25" s="308" t="str">
        <f ca="1">Limits!B158</f>
        <v/>
      </c>
      <c r="F25" s="308"/>
      <c r="G25" s="308"/>
      <c r="H25" s="308"/>
      <c r="I25" s="308"/>
      <c r="J25" s="308"/>
      <c r="K25" s="308" t="str">
        <f>IFERROR(IF(Limits!D158=0,"",Limits!D158),"")</f>
        <v/>
      </c>
      <c r="L25" s="308"/>
      <c r="M25" s="308"/>
      <c r="N25" s="308"/>
      <c r="O25" s="308"/>
      <c r="P25" s="308"/>
      <c r="Q25" s="308"/>
      <c r="R25" s="308"/>
      <c r="S25" s="308"/>
      <c r="T25" s="308"/>
      <c r="U25" s="308"/>
      <c r="V25" s="308"/>
      <c r="W25" s="308"/>
      <c r="X25" s="308"/>
      <c r="Y25" s="308"/>
      <c r="Z25" s="308"/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08"/>
      <c r="BF25" s="308"/>
      <c r="BG25" s="308"/>
      <c r="BH25" s="308"/>
      <c r="BI25" s="308"/>
      <c r="BJ25" s="308"/>
      <c r="BK25" s="308"/>
      <c r="BL25" s="308"/>
      <c r="BM25" s="308"/>
      <c r="BN25" s="349" t="str">
        <f ca="1">Limits!C158</f>
        <v/>
      </c>
      <c r="BO25" s="350"/>
      <c r="BP25" s="13"/>
      <c r="BQ25" s="13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</row>
    <row r="26" spans="1:107" s="117" customFormat="1" ht="14.25" hidden="1" customHeight="1" outlineLevel="1" x14ac:dyDescent="0.25">
      <c r="A26" s="34"/>
      <c r="B26" s="13"/>
      <c r="C26" s="13"/>
      <c r="D26" s="311"/>
      <c r="E26" s="308" t="str">
        <f ca="1">Limits!B159</f>
        <v/>
      </c>
      <c r="F26" s="308"/>
      <c r="G26" s="308"/>
      <c r="H26" s="308"/>
      <c r="I26" s="308"/>
      <c r="J26" s="308"/>
      <c r="K26" s="308" t="str">
        <f>IFERROR(IF(Limits!D159=0,"",Limits!D159),"")</f>
        <v/>
      </c>
      <c r="L26" s="308"/>
      <c r="M26" s="308"/>
      <c r="N26" s="308"/>
      <c r="O26" s="308"/>
      <c r="P26" s="308"/>
      <c r="Q26" s="308"/>
      <c r="R26" s="308"/>
      <c r="S26" s="308"/>
      <c r="T26" s="308"/>
      <c r="U26" s="308"/>
      <c r="V26" s="308"/>
      <c r="W26" s="308"/>
      <c r="X26" s="308"/>
      <c r="Y26" s="308"/>
      <c r="Z26" s="308"/>
      <c r="AA26" s="308"/>
      <c r="AB26" s="308"/>
      <c r="AC26" s="308"/>
      <c r="AD26" s="308"/>
      <c r="AE26" s="308"/>
      <c r="AF26" s="308"/>
      <c r="AG26" s="308"/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08"/>
      <c r="AU26" s="308"/>
      <c r="AV26" s="308"/>
      <c r="AW26" s="308"/>
      <c r="AX26" s="308"/>
      <c r="AY26" s="308"/>
      <c r="AZ26" s="308"/>
      <c r="BA26" s="308"/>
      <c r="BB26" s="308"/>
      <c r="BC26" s="308"/>
      <c r="BD26" s="308"/>
      <c r="BE26" s="308"/>
      <c r="BF26" s="308"/>
      <c r="BG26" s="308"/>
      <c r="BH26" s="308"/>
      <c r="BI26" s="308"/>
      <c r="BJ26" s="308"/>
      <c r="BK26" s="308"/>
      <c r="BL26" s="308"/>
      <c r="BM26" s="308"/>
      <c r="BN26" s="349" t="str">
        <f ca="1">Limits!C159</f>
        <v/>
      </c>
      <c r="BO26" s="350"/>
      <c r="BP26" s="13"/>
      <c r="BQ26" s="13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</row>
    <row r="27" spans="1:107" s="117" customFormat="1" ht="14.25" hidden="1" customHeight="1" outlineLevel="1" x14ac:dyDescent="0.25">
      <c r="A27" s="34"/>
      <c r="B27" s="13"/>
      <c r="C27" s="13"/>
      <c r="D27" s="311"/>
      <c r="E27" s="308" t="str">
        <f ca="1">Limits!B160</f>
        <v/>
      </c>
      <c r="F27" s="308"/>
      <c r="G27" s="308"/>
      <c r="H27" s="308"/>
      <c r="I27" s="308"/>
      <c r="J27" s="308"/>
      <c r="K27" s="308" t="str">
        <f>IFERROR(IF(Limits!D160=0,"",Limits!D160),"")</f>
        <v/>
      </c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8"/>
      <c r="AU27" s="308"/>
      <c r="AV27" s="308"/>
      <c r="AW27" s="308"/>
      <c r="AX27" s="308"/>
      <c r="AY27" s="308"/>
      <c r="AZ27" s="308"/>
      <c r="BA27" s="308"/>
      <c r="BB27" s="308"/>
      <c r="BC27" s="308"/>
      <c r="BD27" s="308"/>
      <c r="BE27" s="308"/>
      <c r="BF27" s="308"/>
      <c r="BG27" s="308"/>
      <c r="BH27" s="308"/>
      <c r="BI27" s="308"/>
      <c r="BJ27" s="308"/>
      <c r="BK27" s="308"/>
      <c r="BL27" s="308"/>
      <c r="BM27" s="308"/>
      <c r="BN27" s="349" t="str">
        <f ca="1">Limits!C160</f>
        <v/>
      </c>
      <c r="BO27" s="350"/>
      <c r="BP27" s="13"/>
      <c r="BQ27" s="13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</row>
    <row r="28" spans="1:107" s="117" customFormat="1" ht="14.25" hidden="1" customHeight="1" outlineLevel="1" x14ac:dyDescent="0.25">
      <c r="A28" s="34"/>
      <c r="B28" s="13"/>
      <c r="C28" s="13"/>
      <c r="D28" s="311"/>
      <c r="E28" s="308" t="str">
        <f ca="1">Limits!B161</f>
        <v/>
      </c>
      <c r="F28" s="308"/>
      <c r="G28" s="308"/>
      <c r="H28" s="308"/>
      <c r="I28" s="308"/>
      <c r="J28" s="308"/>
      <c r="K28" s="308" t="str">
        <f>IFERROR(IF(Limits!D161=0,"",Limits!D161),"")</f>
        <v/>
      </c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308"/>
      <c r="AG28" s="308"/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49" t="str">
        <f ca="1">Limits!C161</f>
        <v/>
      </c>
      <c r="BO28" s="350"/>
      <c r="BP28" s="13"/>
      <c r="BQ28" s="13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</row>
    <row r="29" spans="1:107" s="117" customFormat="1" ht="14.25" hidden="1" customHeight="1" outlineLevel="1" x14ac:dyDescent="0.25">
      <c r="A29" s="34"/>
      <c r="B29" s="13"/>
      <c r="C29" s="13"/>
      <c r="D29" s="311"/>
      <c r="E29" s="308" t="str">
        <f ca="1">Limits!B162</f>
        <v/>
      </c>
      <c r="F29" s="308"/>
      <c r="G29" s="308"/>
      <c r="H29" s="308"/>
      <c r="I29" s="308"/>
      <c r="J29" s="308"/>
      <c r="K29" s="308" t="str">
        <f>IFERROR(IF(Limits!D162=0,"",Limits!D162),"")</f>
        <v/>
      </c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308"/>
      <c r="AG29" s="308"/>
      <c r="AH29" s="308"/>
      <c r="AI29" s="308"/>
      <c r="AJ29" s="308"/>
      <c r="AK29" s="308"/>
      <c r="AL29" s="308"/>
      <c r="AM29" s="308"/>
      <c r="AN29" s="308"/>
      <c r="AO29" s="308"/>
      <c r="AP29" s="308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  <c r="BA29" s="308"/>
      <c r="BB29" s="308"/>
      <c r="BC29" s="308"/>
      <c r="BD29" s="308"/>
      <c r="BE29" s="308"/>
      <c r="BF29" s="308"/>
      <c r="BG29" s="308"/>
      <c r="BH29" s="308"/>
      <c r="BI29" s="308"/>
      <c r="BJ29" s="308"/>
      <c r="BK29" s="308"/>
      <c r="BL29" s="308"/>
      <c r="BM29" s="308"/>
      <c r="BN29" s="349" t="str">
        <f ca="1">Limits!C162</f>
        <v/>
      </c>
      <c r="BO29" s="350"/>
      <c r="BP29" s="13"/>
      <c r="BQ29" s="13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</row>
    <row r="30" spans="1:107" s="117" customFormat="1" ht="14.25" hidden="1" customHeight="1" outlineLevel="1" x14ac:dyDescent="0.25">
      <c r="A30" s="34"/>
      <c r="B30" s="13"/>
      <c r="C30" s="13"/>
      <c r="D30" s="311"/>
      <c r="E30" s="308" t="str">
        <f ca="1">Limits!B163</f>
        <v/>
      </c>
      <c r="F30" s="308"/>
      <c r="G30" s="308"/>
      <c r="H30" s="308"/>
      <c r="I30" s="308"/>
      <c r="J30" s="308"/>
      <c r="K30" s="308" t="str">
        <f>IFERROR(IF(Limits!D163=0,"",Limits!D163),"")</f>
        <v/>
      </c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308"/>
      <c r="AD30" s="308"/>
      <c r="AE30" s="308"/>
      <c r="AF30" s="308"/>
      <c r="AG30" s="308"/>
      <c r="AH30" s="308"/>
      <c r="AI30" s="308"/>
      <c r="AJ30" s="308"/>
      <c r="AK30" s="308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  <c r="BA30" s="308"/>
      <c r="BB30" s="308"/>
      <c r="BC30" s="308"/>
      <c r="BD30" s="308"/>
      <c r="BE30" s="308"/>
      <c r="BF30" s="308"/>
      <c r="BG30" s="308"/>
      <c r="BH30" s="308"/>
      <c r="BI30" s="308"/>
      <c r="BJ30" s="308"/>
      <c r="BK30" s="308"/>
      <c r="BL30" s="308"/>
      <c r="BM30" s="308"/>
      <c r="BN30" s="349" t="str">
        <f ca="1">Limits!C163</f>
        <v/>
      </c>
      <c r="BO30" s="350"/>
      <c r="BP30" s="13"/>
      <c r="BQ30" s="13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</row>
    <row r="31" spans="1:107" s="117" customFormat="1" ht="14.25" hidden="1" customHeight="1" outlineLevel="1" x14ac:dyDescent="0.25">
      <c r="A31" s="34"/>
      <c r="B31" s="13"/>
      <c r="C31" s="13"/>
      <c r="D31" s="311"/>
      <c r="E31" s="308" t="str">
        <f ca="1">Limits!B164</f>
        <v/>
      </c>
      <c r="F31" s="308"/>
      <c r="G31" s="308"/>
      <c r="H31" s="308"/>
      <c r="I31" s="308"/>
      <c r="J31" s="308"/>
      <c r="K31" s="308" t="str">
        <f>IFERROR(IF(Limits!D164=0,"",Limits!D164),"")</f>
        <v/>
      </c>
      <c r="L31" s="308"/>
      <c r="M31" s="308"/>
      <c r="N31" s="308"/>
      <c r="O31" s="308"/>
      <c r="P31" s="308"/>
      <c r="Q31" s="308"/>
      <c r="R31" s="308"/>
      <c r="S31" s="308"/>
      <c r="T31" s="308"/>
      <c r="U31" s="308"/>
      <c r="V31" s="308"/>
      <c r="W31" s="308"/>
      <c r="X31" s="308"/>
      <c r="Y31" s="308"/>
      <c r="Z31" s="308"/>
      <c r="AA31" s="308"/>
      <c r="AB31" s="308"/>
      <c r="AC31" s="308"/>
      <c r="AD31" s="308"/>
      <c r="AE31" s="308"/>
      <c r="AF31" s="308"/>
      <c r="AG31" s="308"/>
      <c r="AH31" s="308"/>
      <c r="AI31" s="308"/>
      <c r="AJ31" s="308"/>
      <c r="AK31" s="308"/>
      <c r="AL31" s="308"/>
      <c r="AM31" s="308"/>
      <c r="AN31" s="308"/>
      <c r="AO31" s="308"/>
      <c r="AP31" s="308"/>
      <c r="AQ31" s="308"/>
      <c r="AR31" s="308"/>
      <c r="AS31" s="308"/>
      <c r="AT31" s="308"/>
      <c r="AU31" s="308"/>
      <c r="AV31" s="308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  <c r="BL31" s="308"/>
      <c r="BM31" s="308"/>
      <c r="BN31" s="349" t="str">
        <f ca="1">Limits!C164</f>
        <v/>
      </c>
      <c r="BO31" s="350"/>
      <c r="BP31" s="13"/>
      <c r="BQ31" s="13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</row>
    <row r="32" spans="1:107" s="117" customFormat="1" ht="14.25" hidden="1" customHeight="1" outlineLevel="1" x14ac:dyDescent="0.25">
      <c r="A32" s="34"/>
      <c r="B32" s="13"/>
      <c r="C32" s="13"/>
      <c r="D32" s="311"/>
      <c r="E32" s="308" t="str">
        <f ca="1">Limits!B165</f>
        <v/>
      </c>
      <c r="F32" s="308"/>
      <c r="G32" s="308"/>
      <c r="H32" s="308"/>
      <c r="I32" s="308"/>
      <c r="J32" s="308"/>
      <c r="K32" s="308" t="str">
        <f>IFERROR(IF(Limits!D165=0,"",Limits!D165),"")</f>
        <v/>
      </c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49" t="str">
        <f ca="1">Limits!C165</f>
        <v/>
      </c>
      <c r="BO32" s="350"/>
      <c r="BP32" s="13"/>
      <c r="BQ32" s="13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</row>
    <row r="33" spans="1:107" s="117" customFormat="1" ht="14.25" hidden="1" customHeight="1" outlineLevel="1" x14ac:dyDescent="0.25">
      <c r="A33" s="34"/>
      <c r="B33" s="13"/>
      <c r="C33" s="13"/>
      <c r="D33" s="311"/>
      <c r="E33" s="308" t="str">
        <f ca="1">Limits!B166</f>
        <v/>
      </c>
      <c r="F33" s="308"/>
      <c r="G33" s="308"/>
      <c r="H33" s="308"/>
      <c r="I33" s="308"/>
      <c r="J33" s="308"/>
      <c r="K33" s="308" t="str">
        <f>IFERROR(IF(Limits!D166=0,"",Limits!D166),"")</f>
        <v/>
      </c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8"/>
      <c r="BB33" s="308"/>
      <c r="BC33" s="308"/>
      <c r="BD33" s="308"/>
      <c r="BE33" s="308"/>
      <c r="BF33" s="308"/>
      <c r="BG33" s="308"/>
      <c r="BH33" s="308"/>
      <c r="BI33" s="308"/>
      <c r="BJ33" s="308"/>
      <c r="BK33" s="308"/>
      <c r="BL33" s="308"/>
      <c r="BM33" s="308"/>
      <c r="BN33" s="349" t="str">
        <f ca="1">Limits!C166</f>
        <v/>
      </c>
      <c r="BO33" s="350"/>
      <c r="BP33" s="13"/>
      <c r="BQ33" s="13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</row>
    <row r="34" spans="1:107" s="117" customFormat="1" ht="14.25" hidden="1" customHeight="1" outlineLevel="1" x14ac:dyDescent="0.25">
      <c r="A34" s="34"/>
      <c r="B34" s="13"/>
      <c r="C34" s="13"/>
      <c r="D34" s="311"/>
      <c r="E34" s="308" t="str">
        <f ca="1">Limits!B167</f>
        <v/>
      </c>
      <c r="F34" s="308"/>
      <c r="G34" s="308"/>
      <c r="H34" s="308"/>
      <c r="I34" s="308"/>
      <c r="J34" s="308"/>
      <c r="K34" s="308" t="str">
        <f>IFERROR(IF(Limits!D167=0,"",Limits!D167),"")</f>
        <v/>
      </c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49" t="str">
        <f ca="1">Limits!C167</f>
        <v/>
      </c>
      <c r="BO34" s="350"/>
      <c r="BP34" s="13"/>
      <c r="BQ34" s="13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</row>
    <row r="35" spans="1:107" s="117" customFormat="1" ht="14.25" hidden="1" customHeight="1" outlineLevel="1" x14ac:dyDescent="0.25">
      <c r="A35" s="34"/>
      <c r="B35" s="13"/>
      <c r="C35" s="13"/>
      <c r="D35" s="311"/>
      <c r="E35" s="308" t="str">
        <f ca="1">Limits!B168</f>
        <v/>
      </c>
      <c r="F35" s="308"/>
      <c r="G35" s="308"/>
      <c r="H35" s="308"/>
      <c r="I35" s="308"/>
      <c r="J35" s="308"/>
      <c r="K35" s="308" t="str">
        <f>IFERROR(IF(Limits!D168=0,"",Limits!D168),"")</f>
        <v/>
      </c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49" t="str">
        <f ca="1">Limits!C168</f>
        <v/>
      </c>
      <c r="BO35" s="350"/>
      <c r="BP35" s="13"/>
      <c r="BQ35" s="13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</row>
    <row r="36" spans="1:107" s="117" customFormat="1" ht="14.25" hidden="1" customHeight="1" outlineLevel="1" x14ac:dyDescent="0.25">
      <c r="A36" s="34"/>
      <c r="B36" s="13"/>
      <c r="C36" s="13"/>
      <c r="D36" s="311"/>
      <c r="E36" s="308" t="str">
        <f ca="1">Limits!B169</f>
        <v/>
      </c>
      <c r="F36" s="308"/>
      <c r="G36" s="308"/>
      <c r="H36" s="308"/>
      <c r="I36" s="308"/>
      <c r="J36" s="308"/>
      <c r="K36" s="308" t="str">
        <f>IFERROR(IF(Limits!D169=0,"",Limits!D169),"")</f>
        <v/>
      </c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  <c r="BC36" s="308"/>
      <c r="BD36" s="308"/>
      <c r="BE36" s="308"/>
      <c r="BF36" s="308"/>
      <c r="BG36" s="308"/>
      <c r="BH36" s="308"/>
      <c r="BI36" s="308"/>
      <c r="BJ36" s="308"/>
      <c r="BK36" s="308"/>
      <c r="BL36" s="308"/>
      <c r="BM36" s="308"/>
      <c r="BN36" s="349" t="str">
        <f ca="1">Limits!C169</f>
        <v/>
      </c>
      <c r="BO36" s="350"/>
      <c r="BP36" s="13"/>
      <c r="BQ36" s="13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</row>
    <row r="37" spans="1:107" s="117" customFormat="1" ht="14.25" hidden="1" customHeight="1" outlineLevel="1" x14ac:dyDescent="0.25">
      <c r="A37" s="34"/>
      <c r="B37" s="13"/>
      <c r="C37" s="13"/>
      <c r="D37" s="311"/>
      <c r="E37" s="308" t="str">
        <f ca="1">Limits!B170</f>
        <v/>
      </c>
      <c r="F37" s="308"/>
      <c r="G37" s="308"/>
      <c r="H37" s="308"/>
      <c r="I37" s="308"/>
      <c r="J37" s="308"/>
      <c r="K37" s="308" t="str">
        <f>IFERROR(IF(Limits!D170=0,"",Limits!D170),"")</f>
        <v/>
      </c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8"/>
      <c r="BH37" s="308"/>
      <c r="BI37" s="308"/>
      <c r="BJ37" s="308"/>
      <c r="BK37" s="308"/>
      <c r="BL37" s="308"/>
      <c r="BM37" s="308"/>
      <c r="BN37" s="349" t="str">
        <f ca="1">Limits!C170</f>
        <v/>
      </c>
      <c r="BO37" s="350"/>
      <c r="BP37" s="13"/>
      <c r="BQ37" s="13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</row>
    <row r="38" spans="1:107" s="117" customFormat="1" ht="14.25" hidden="1" customHeight="1" outlineLevel="1" thickBot="1" x14ac:dyDescent="0.3">
      <c r="A38" s="34"/>
      <c r="B38" s="13"/>
      <c r="C38" s="13"/>
      <c r="D38" s="307"/>
      <c r="E38" s="313" t="str">
        <f ca="1">Limits!B162</f>
        <v/>
      </c>
      <c r="F38" s="313"/>
      <c r="G38" s="313"/>
      <c r="H38" s="313"/>
      <c r="I38" s="313"/>
      <c r="J38" s="313"/>
      <c r="K38" s="313" t="str">
        <f>IFERROR(IF(Limits!D162=0,"",Limits!D162),"")</f>
        <v/>
      </c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3"/>
      <c r="AJ38" s="313"/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  <c r="BA38" s="313"/>
      <c r="BB38" s="313"/>
      <c r="BC38" s="313"/>
      <c r="BD38" s="313"/>
      <c r="BE38" s="313"/>
      <c r="BF38" s="313"/>
      <c r="BG38" s="313"/>
      <c r="BH38" s="313"/>
      <c r="BI38" s="313"/>
      <c r="BJ38" s="313"/>
      <c r="BK38" s="313"/>
      <c r="BL38" s="313"/>
      <c r="BM38" s="313"/>
      <c r="BN38" s="351" t="str">
        <f ca="1">Limits!C162</f>
        <v/>
      </c>
      <c r="BO38" s="352"/>
      <c r="BP38" s="13"/>
      <c r="BQ38" s="13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</row>
    <row r="39" spans="1:107" s="117" customFormat="1" ht="14.25" customHeight="1" collapsed="1" x14ac:dyDescent="0.25">
      <c r="A39" s="34"/>
      <c r="B39" s="13"/>
      <c r="C39" s="13"/>
      <c r="D39" s="298" t="str">
        <f ca="1">"◄◄◄ "&amp;Sprache!A155</f>
        <v>◄◄◄ More detail for the bulk package</v>
      </c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7"/>
      <c r="AT39" s="297"/>
      <c r="AU39" s="297"/>
      <c r="AV39" s="297"/>
      <c r="AW39" s="297"/>
      <c r="AX39" s="297"/>
      <c r="AY39" s="297"/>
      <c r="AZ39" s="297"/>
      <c r="BA39" s="297"/>
      <c r="BB39" s="297"/>
      <c r="BC39" s="297"/>
      <c r="BD39" s="297"/>
      <c r="BE39" s="297"/>
      <c r="BF39" s="297"/>
      <c r="BG39" s="297"/>
      <c r="BH39" s="297"/>
      <c r="BI39" s="297"/>
      <c r="BJ39" s="297"/>
      <c r="BK39" s="297"/>
      <c r="BL39" s="297"/>
      <c r="BM39" s="297"/>
      <c r="BN39" s="297"/>
      <c r="BO39" s="297"/>
      <c r="BP39" s="13"/>
      <c r="BQ39" s="13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</row>
    <row r="40" spans="1:107" s="117" customFormat="1" ht="5.25" customHeight="1" x14ac:dyDescent="0.25">
      <c r="A40" s="34"/>
      <c r="B40" s="13"/>
      <c r="C40" s="13"/>
      <c r="D40" s="298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7"/>
      <c r="AJ40" s="297"/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7"/>
      <c r="AZ40" s="297"/>
      <c r="BA40" s="297"/>
      <c r="BB40" s="297"/>
      <c r="BC40" s="297"/>
      <c r="BD40" s="297"/>
      <c r="BE40" s="297"/>
      <c r="BF40" s="297"/>
      <c r="BG40" s="297"/>
      <c r="BH40" s="297"/>
      <c r="BI40" s="297"/>
      <c r="BJ40" s="297"/>
      <c r="BK40" s="297"/>
      <c r="BL40" s="297"/>
      <c r="BM40" s="297"/>
      <c r="BN40" s="297"/>
      <c r="BO40" s="297"/>
      <c r="BP40" s="13"/>
      <c r="BQ40" s="13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</row>
    <row r="41" spans="1:107" ht="13.5" customHeight="1" x14ac:dyDescent="0.25">
      <c r="B41" s="13"/>
      <c r="C41" s="13"/>
      <c r="BP41" s="13"/>
      <c r="BQ41" s="13"/>
    </row>
    <row r="42" spans="1:107" ht="16.5" customHeight="1" x14ac:dyDescent="0.25">
      <c r="B42" s="13"/>
      <c r="C42" s="13"/>
      <c r="L42" s="110"/>
      <c r="M42" s="110"/>
      <c r="N42" s="110"/>
      <c r="O42" s="110"/>
      <c r="P42" s="338" t="str">
        <f ca="1">HYPERLINK(Sprache!$A$26,Sprache!$A$25)</f>
        <v>Складной подъемник</v>
      </c>
      <c r="Q42" s="339"/>
      <c r="R42" s="339"/>
      <c r="S42" s="339"/>
      <c r="T42" s="339"/>
      <c r="U42" s="339"/>
      <c r="V42" s="339"/>
      <c r="W42" s="339"/>
      <c r="X42" s="339"/>
      <c r="Y42" s="339"/>
      <c r="Z42" s="339"/>
      <c r="AA42" s="339"/>
      <c r="AB42" s="339"/>
      <c r="AC42" s="339"/>
      <c r="AD42" s="339"/>
      <c r="AE42" s="339"/>
      <c r="AF42" s="339"/>
      <c r="AG42" s="339"/>
      <c r="AH42" s="339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338" t="str">
        <f ca="1">HYPERLINK(Sprache!$A$45,Sprache!$A$37)</f>
        <v>Поворотный подъемник</v>
      </c>
      <c r="AW42" s="339"/>
      <c r="AX42" s="339"/>
      <c r="AY42" s="339"/>
      <c r="AZ42" s="339"/>
      <c r="BA42" s="339"/>
      <c r="BB42" s="339"/>
      <c r="BC42" s="339"/>
      <c r="BD42" s="339"/>
      <c r="BE42" s="339"/>
      <c r="BF42" s="339"/>
      <c r="BG42" s="339"/>
      <c r="BH42" s="339"/>
      <c r="BI42" s="339"/>
      <c r="BJ42" s="339"/>
      <c r="BK42" s="339"/>
      <c r="BL42" s="339"/>
      <c r="BM42" s="339"/>
      <c r="BN42" s="339"/>
      <c r="BO42" s="110"/>
      <c r="BP42" s="13"/>
      <c r="BQ42" s="13"/>
    </row>
    <row r="43" spans="1:107" ht="80.099999999999994" customHeight="1" x14ac:dyDescent="0.25">
      <c r="B43" s="13"/>
      <c r="C43" s="13"/>
      <c r="L43" s="110"/>
      <c r="M43" s="344" t="str">
        <f ca="1">Sprache!$A$27</f>
        <v>F-20</v>
      </c>
      <c r="N43" s="344"/>
      <c r="O43" s="110"/>
      <c r="P43" s="340" t="str">
        <f ca="1">Sprache!$A$28</f>
        <v>• Для навесных шкафов с раздельными фасадами
• Очень легкий ход
• Возможность использования с фасадами без ручек
• Встроенный регулируемый демпфер</v>
      </c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111"/>
      <c r="AJ43" s="110"/>
      <c r="AK43" s="110"/>
      <c r="AL43" s="110"/>
      <c r="AM43" s="110"/>
      <c r="AN43" s="110"/>
      <c r="AO43" s="110"/>
      <c r="AP43" s="110"/>
      <c r="AQ43" s="110"/>
      <c r="AR43" s="110"/>
      <c r="AS43" s="344" t="str">
        <f ca="1">Sprache!$A$44</f>
        <v>T-71</v>
      </c>
      <c r="AT43" s="344"/>
      <c r="AU43" s="110"/>
      <c r="AV43" s="340" t="str">
        <f ca="1">Sprache!$A$46</f>
        <v>• Подходит для шкафов с другими корпусами сверху
• Надежно удерживает створку в любом положении от 45°
   до 100°
• Непосредственная 3-мерная регулировка фасада
• Установка с использованием зажимов
• Широкая область применения
• Встроенный регулируемый демпфер</v>
      </c>
      <c r="AW43" s="340"/>
      <c r="AX43" s="340"/>
      <c r="AY43" s="340"/>
      <c r="AZ43" s="340"/>
      <c r="BA43" s="340"/>
      <c r="BB43" s="340"/>
      <c r="BC43" s="340"/>
      <c r="BD43" s="340"/>
      <c r="BE43" s="340"/>
      <c r="BF43" s="340"/>
      <c r="BG43" s="340"/>
      <c r="BH43" s="340"/>
      <c r="BI43" s="340"/>
      <c r="BJ43" s="340"/>
      <c r="BK43" s="340"/>
      <c r="BL43" s="340"/>
      <c r="BM43" s="340"/>
      <c r="BN43" s="340"/>
      <c r="BO43" s="111"/>
      <c r="BP43" s="33"/>
      <c r="BQ43" s="33"/>
      <c r="BR43" s="35"/>
    </row>
    <row r="44" spans="1:107" ht="11.25" customHeight="1" x14ac:dyDescent="0.25">
      <c r="B44" s="13"/>
      <c r="C44" s="13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3"/>
      <c r="BQ44" s="13"/>
    </row>
    <row r="45" spans="1:107" ht="11.25" customHeight="1" x14ac:dyDescent="0.25">
      <c r="B45" s="13"/>
      <c r="C45" s="13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3"/>
      <c r="BQ45" s="13"/>
    </row>
    <row r="46" spans="1:107" ht="16.5" customHeight="1" x14ac:dyDescent="0.25">
      <c r="B46" s="13"/>
      <c r="C46" s="13"/>
      <c r="L46" s="110"/>
      <c r="M46" s="110"/>
      <c r="N46" s="110"/>
      <c r="O46" s="110"/>
      <c r="P46" s="338" t="str">
        <f ca="1">HYPERLINK(Sprache!$A$30,Sprache!$A$29)</f>
        <v>Вертикальный подъемник</v>
      </c>
      <c r="Q46" s="339"/>
      <c r="R46" s="339"/>
      <c r="S46" s="339"/>
      <c r="T46" s="339"/>
      <c r="U46" s="339"/>
      <c r="V46" s="339"/>
      <c r="W46" s="339"/>
      <c r="X46" s="339"/>
      <c r="Y46" s="339"/>
      <c r="Z46" s="339"/>
      <c r="AA46" s="339"/>
      <c r="AB46" s="339"/>
      <c r="AC46" s="339"/>
      <c r="AD46" s="339"/>
      <c r="AE46" s="339"/>
      <c r="AF46" s="339"/>
      <c r="AG46" s="339"/>
      <c r="AH46" s="339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338" t="str">
        <f ca="1">HYPERLINK(Sprache!$A$48,Sprache!$A$37)</f>
        <v>Поворотный подъемник</v>
      </c>
      <c r="AW46" s="339"/>
      <c r="AX46" s="339"/>
      <c r="AY46" s="339"/>
      <c r="AZ46" s="339"/>
      <c r="BA46" s="339"/>
      <c r="BB46" s="339"/>
      <c r="BC46" s="339"/>
      <c r="BD46" s="339"/>
      <c r="BE46" s="339"/>
      <c r="BF46" s="339"/>
      <c r="BG46" s="339"/>
      <c r="BH46" s="339"/>
      <c r="BI46" s="339"/>
      <c r="BJ46" s="339"/>
      <c r="BK46" s="339"/>
      <c r="BL46" s="339"/>
      <c r="BM46" s="339"/>
      <c r="BN46" s="339"/>
      <c r="BO46" s="110"/>
      <c r="BP46" s="13"/>
      <c r="BQ46" s="13"/>
    </row>
    <row r="47" spans="1:107" ht="80.099999999999994" customHeight="1" x14ac:dyDescent="0.25">
      <c r="B47" s="13"/>
      <c r="C47" s="13"/>
      <c r="L47" s="110"/>
      <c r="M47" s="344" t="str">
        <f ca="1">Sprache!$A$31</f>
        <v>L-80</v>
      </c>
      <c r="N47" s="344"/>
      <c r="O47" s="110"/>
      <c r="P47" s="340" t="str">
        <f ca="1">Sprache!$A$32</f>
        <v>• Открывается параллельно корпусу
• Подходит для установки электроприборов и шкафов
   с верхними накладными планками, карнизами и навесными
   светильниками
• Чрезвычайно легкий ход
• Высокая стабильность
• Встроенный регулируемый демпфер</v>
      </c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111"/>
      <c r="AJ47" s="110"/>
      <c r="AK47" s="110"/>
      <c r="AL47" s="110"/>
      <c r="AM47" s="110"/>
      <c r="AN47" s="110"/>
      <c r="AO47" s="110"/>
      <c r="AP47" s="110"/>
      <c r="AQ47" s="110"/>
      <c r="AR47" s="110"/>
      <c r="AS47" s="344" t="str">
        <f ca="1">Sprache!$A$47</f>
        <v>T-75</v>
      </c>
      <c r="AT47" s="344"/>
      <c r="AU47" s="110"/>
      <c r="AV47" s="340" t="str">
        <f ca="1">Sprache!$A$49</f>
        <v>• Подходит для шкафов с другими корпусами сверху
• Надежно удерживает створку в любом положении от 45° до
   100°
• Для тяжелых створок
• Встроенный регулируемый демпфер</v>
      </c>
      <c r="AW47" s="340"/>
      <c r="AX47" s="340"/>
      <c r="AY47" s="340"/>
      <c r="AZ47" s="340"/>
      <c r="BA47" s="340"/>
      <c r="BB47" s="340"/>
      <c r="BC47" s="340"/>
      <c r="BD47" s="340"/>
      <c r="BE47" s="340"/>
      <c r="BF47" s="340"/>
      <c r="BG47" s="340"/>
      <c r="BH47" s="340"/>
      <c r="BI47" s="340"/>
      <c r="BJ47" s="340"/>
      <c r="BK47" s="340"/>
      <c r="BL47" s="340"/>
      <c r="BM47" s="340"/>
      <c r="BN47" s="340"/>
      <c r="BO47" s="111"/>
      <c r="BP47" s="33"/>
      <c r="BQ47" s="33"/>
      <c r="BR47" s="35"/>
    </row>
    <row r="48" spans="1:107" ht="11.25" customHeight="1" x14ac:dyDescent="0.25">
      <c r="B48" s="13"/>
      <c r="C48" s="13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3"/>
      <c r="BQ48" s="13"/>
    </row>
    <row r="49" spans="2:70" ht="11.25" customHeight="1" x14ac:dyDescent="0.25">
      <c r="B49" s="13"/>
      <c r="C49" s="13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3"/>
      <c r="BQ49" s="13"/>
    </row>
    <row r="50" spans="2:70" ht="16.5" customHeight="1" x14ac:dyDescent="0.25">
      <c r="B50" s="13"/>
      <c r="C50" s="13"/>
      <c r="L50" s="110"/>
      <c r="M50" s="110"/>
      <c r="N50" s="110"/>
      <c r="O50" s="110"/>
      <c r="P50" s="338" t="str">
        <f ca="1">HYPERLINK(Sprache!$A$34,Sprache!$A$33)</f>
        <v>Откидной подъемник</v>
      </c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39"/>
      <c r="AF50" s="339"/>
      <c r="AG50" s="339"/>
      <c r="AH50" s="339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338" t="str">
        <f ca="1">HYPERLINK(Sprache!$A$51,Sprache!$A$37)</f>
        <v>Поворотный подъемник</v>
      </c>
      <c r="AW50" s="339"/>
      <c r="AX50" s="339"/>
      <c r="AY50" s="339"/>
      <c r="AZ50" s="339"/>
      <c r="BA50" s="339"/>
      <c r="BB50" s="339"/>
      <c r="BC50" s="339"/>
      <c r="BD50" s="339"/>
      <c r="BE50" s="339"/>
      <c r="BF50" s="339"/>
      <c r="BG50" s="339"/>
      <c r="BH50" s="339"/>
      <c r="BI50" s="339"/>
      <c r="BJ50" s="339"/>
      <c r="BK50" s="339"/>
      <c r="BL50" s="339"/>
      <c r="BM50" s="339"/>
      <c r="BN50" s="339"/>
      <c r="BO50" s="110"/>
      <c r="BP50" s="13"/>
      <c r="BQ50" s="13"/>
    </row>
    <row r="51" spans="2:70" ht="80.099999999999994" customHeight="1" x14ac:dyDescent="0.25">
      <c r="B51" s="13"/>
      <c r="C51" s="13"/>
      <c r="L51" s="110"/>
      <c r="M51" s="344" t="str">
        <f ca="1">Sprache!$A$35</f>
        <v>S-35</v>
      </c>
      <c r="N51" s="344"/>
      <c r="O51" s="110"/>
      <c r="P51" s="340" t="str">
        <f ca="1">Sprache!A36</f>
        <v>• Откидывается над корпусом
• Подходит для шкафов с верхними накладными планками,
    карнизами и навесными светильниками
• Чрезвычайно легкий ход
• Высокая стабильность
• Встроенный регулируемый демпфер</v>
      </c>
      <c r="Q51" s="340"/>
      <c r="R51" s="340"/>
      <c r="S51" s="340"/>
      <c r="T51" s="340"/>
      <c r="U51" s="340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111"/>
      <c r="AJ51" s="110"/>
      <c r="AK51" s="110"/>
      <c r="AL51" s="110"/>
      <c r="AM51" s="110"/>
      <c r="AN51" s="110"/>
      <c r="AO51" s="110"/>
      <c r="AP51" s="110"/>
      <c r="AQ51" s="110"/>
      <c r="AR51" s="110"/>
      <c r="AS51" s="344" t="str">
        <f ca="1">Sprache!$A$50</f>
        <v>T-76</v>
      </c>
      <c r="AT51" s="344"/>
      <c r="AU51" s="110"/>
      <c r="AV51" s="340" t="str">
        <f ca="1">Sprache!$A$52</f>
        <v>• Подходит для шкафов с другими корпусами сверху
• Надежно удерживает створку в любом положении от 45° до
   100°
• Встроенный регулируемый демпфер
• Непосредственная 3-мерная регулировка фасада
• Установка с использованием зажимов
• Для тяжелых створок</v>
      </c>
      <c r="AW51" s="340"/>
      <c r="AX51" s="340"/>
      <c r="AY51" s="340"/>
      <c r="AZ51" s="340"/>
      <c r="BA51" s="340"/>
      <c r="BB51" s="340"/>
      <c r="BC51" s="340"/>
      <c r="BD51" s="340"/>
      <c r="BE51" s="340"/>
      <c r="BF51" s="340"/>
      <c r="BG51" s="340"/>
      <c r="BH51" s="340"/>
      <c r="BI51" s="340"/>
      <c r="BJ51" s="340"/>
      <c r="BK51" s="340"/>
      <c r="BL51" s="340"/>
      <c r="BM51" s="340"/>
      <c r="BN51" s="340"/>
      <c r="BO51" s="111"/>
      <c r="BP51" s="33"/>
      <c r="BQ51" s="33"/>
      <c r="BR51" s="35"/>
    </row>
    <row r="52" spans="2:70" ht="12.75" customHeight="1" x14ac:dyDescent="0.25">
      <c r="B52" s="13"/>
      <c r="C52" s="13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3"/>
      <c r="BQ52" s="13"/>
    </row>
    <row r="53" spans="2:70" ht="11.25" customHeight="1" x14ac:dyDescent="0.25">
      <c r="B53" s="13"/>
      <c r="C53" s="13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3"/>
      <c r="BQ53" s="13"/>
    </row>
    <row r="54" spans="2:70" ht="16.5" customHeight="1" x14ac:dyDescent="0.25">
      <c r="B54" s="13"/>
      <c r="C54" s="13"/>
      <c r="L54" s="110"/>
      <c r="M54" s="110"/>
      <c r="N54" s="110"/>
      <c r="O54" s="110"/>
      <c r="P54" s="338" t="str">
        <f ca="1">HYPERLINK(Sprache!$A$38,Sprache!$A$37)</f>
        <v>Поворотный подъемник</v>
      </c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338" t="str">
        <f ca="1">HYPERLINK(Sprache!$A$54,Sprache!$A$37)</f>
        <v>Поворотный подъемник</v>
      </c>
      <c r="AW54" s="339"/>
      <c r="AX54" s="339"/>
      <c r="AY54" s="339"/>
      <c r="AZ54" s="339"/>
      <c r="BA54" s="339"/>
      <c r="BB54" s="339"/>
      <c r="BC54" s="339"/>
      <c r="BD54" s="339"/>
      <c r="BE54" s="339"/>
      <c r="BF54" s="339"/>
      <c r="BG54" s="339"/>
      <c r="BH54" s="339"/>
      <c r="BI54" s="339"/>
      <c r="BJ54" s="339"/>
      <c r="BK54" s="339"/>
      <c r="BL54" s="339"/>
      <c r="BM54" s="339"/>
      <c r="BN54" s="339"/>
      <c r="BO54" s="110"/>
      <c r="BP54" s="13"/>
      <c r="BQ54" s="13"/>
    </row>
    <row r="55" spans="2:70" ht="80.099999999999994" customHeight="1" x14ac:dyDescent="0.25">
      <c r="B55" s="13"/>
      <c r="C55" s="13"/>
      <c r="L55" s="110"/>
      <c r="M55" s="344" t="str">
        <f ca="1">Sprache!$A$39</f>
        <v>T-65</v>
      </c>
      <c r="N55" s="344"/>
      <c r="O55" s="110"/>
      <c r="P55" s="340" t="str">
        <f ca="1">Sprache!$A$40</f>
        <v xml:space="preserve">• Подходит для шкафов с другими корпусами сверху
• Надежно удерживает створку в любом положении от 45° до
   100°
• Для легких и средних створок
• Встроенный регулируемый демпфер
</v>
      </c>
      <c r="Q55" s="340"/>
      <c r="R55" s="340"/>
      <c r="S55" s="340"/>
      <c r="T55" s="340"/>
      <c r="U55" s="340"/>
      <c r="V55" s="340"/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111"/>
      <c r="AJ55" s="110"/>
      <c r="AK55" s="110"/>
      <c r="AL55" s="110"/>
      <c r="AM55" s="110"/>
      <c r="AN55" s="110"/>
      <c r="AO55" s="110"/>
      <c r="AP55" s="110"/>
      <c r="AQ55" s="110"/>
      <c r="AR55" s="110"/>
      <c r="AS55" s="344" t="str">
        <f ca="1">Sprache!$A$53</f>
        <v>T-57</v>
      </c>
      <c r="AT55" s="344"/>
      <c r="AU55" s="110"/>
      <c r="AV55" s="340" t="str">
        <f ca="1">Sprache!$A$55</f>
        <v>• Подходит для шкафов с другими корпусами сверху
• Регулируемый угол открывания 75° или 90°
• Для средних створок</v>
      </c>
      <c r="AW55" s="340"/>
      <c r="AX55" s="340"/>
      <c r="AY55" s="340"/>
      <c r="AZ55" s="340"/>
      <c r="BA55" s="340"/>
      <c r="BB55" s="340"/>
      <c r="BC55" s="340"/>
      <c r="BD55" s="340"/>
      <c r="BE55" s="340"/>
      <c r="BF55" s="340"/>
      <c r="BG55" s="340"/>
      <c r="BH55" s="340"/>
      <c r="BI55" s="340"/>
      <c r="BJ55" s="340"/>
      <c r="BK55" s="340"/>
      <c r="BL55" s="340"/>
      <c r="BM55" s="340"/>
      <c r="BN55" s="340"/>
      <c r="BO55" s="111"/>
      <c r="BP55" s="33"/>
      <c r="BQ55" s="33"/>
      <c r="BR55" s="35"/>
    </row>
    <row r="56" spans="2:70" ht="12.75" customHeight="1" x14ac:dyDescent="0.25">
      <c r="B56" s="13"/>
      <c r="C56" s="13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3"/>
      <c r="BQ56" s="13"/>
    </row>
    <row r="57" spans="2:70" ht="11.25" customHeight="1" x14ac:dyDescent="0.25">
      <c r="B57" s="13"/>
      <c r="C57" s="13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3"/>
      <c r="BQ57" s="13"/>
    </row>
    <row r="58" spans="2:70" ht="16.5" customHeight="1" x14ac:dyDescent="0.25">
      <c r="B58" s="13"/>
      <c r="C58" s="13"/>
      <c r="L58" s="110"/>
      <c r="M58" s="110"/>
      <c r="N58" s="110"/>
      <c r="O58" s="110"/>
      <c r="P58" s="338" t="str">
        <f ca="1">HYPERLINK(Sprache!$A$42,Sprache!$A$37)</f>
        <v>Поворотный подъемник</v>
      </c>
      <c r="Q58" s="339"/>
      <c r="R58" s="339"/>
      <c r="S58" s="339"/>
      <c r="T58" s="339"/>
      <c r="U58" s="339"/>
      <c r="V58" s="339"/>
      <c r="W58" s="339"/>
      <c r="X58" s="339"/>
      <c r="Y58" s="339"/>
      <c r="Z58" s="339"/>
      <c r="AA58" s="339"/>
      <c r="AB58" s="339"/>
      <c r="AC58" s="339"/>
      <c r="AD58" s="339"/>
      <c r="AE58" s="339"/>
      <c r="AF58" s="339"/>
      <c r="AG58" s="339"/>
      <c r="AH58" s="339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338" t="str">
        <f ca="1">HYPERLINK(Sprache!$A$57,Sprache!$A$58)</f>
        <v>Коленчатый подъемник</v>
      </c>
      <c r="AW58" s="339"/>
      <c r="AX58" s="339"/>
      <c r="AY58" s="339"/>
      <c r="AZ58" s="339"/>
      <c r="BA58" s="339"/>
      <c r="BB58" s="339"/>
      <c r="BC58" s="339"/>
      <c r="BD58" s="339"/>
      <c r="BE58" s="339"/>
      <c r="BF58" s="339"/>
      <c r="BG58" s="339"/>
      <c r="BH58" s="339"/>
      <c r="BI58" s="339"/>
      <c r="BJ58" s="339"/>
      <c r="BK58" s="339"/>
      <c r="BL58" s="339"/>
      <c r="BM58" s="339"/>
      <c r="BN58" s="339"/>
      <c r="BO58" s="110"/>
      <c r="BP58" s="13"/>
      <c r="BQ58" s="13"/>
    </row>
    <row r="59" spans="2:70" ht="80.099999999999994" customHeight="1" x14ac:dyDescent="0.25">
      <c r="B59" s="13"/>
      <c r="C59" s="13"/>
      <c r="L59" s="110"/>
      <c r="M59" s="344" t="str">
        <f ca="1">Sprache!$A$41</f>
        <v>T-70</v>
      </c>
      <c r="N59" s="344"/>
      <c r="O59" s="110"/>
      <c r="P59" s="340" t="str">
        <f ca="1">Sprache!$A$43</f>
        <v>• Подходит для шкафов с другими корпусами сверху
• Надежно удерживает створку в любом положении от 45° до
   100°
• Встроенный регулируемый демпфер
• Широкая область применения</v>
      </c>
      <c r="Q59" s="340"/>
      <c r="R59" s="340"/>
      <c r="S59" s="340"/>
      <c r="T59" s="340"/>
      <c r="U59" s="340"/>
      <c r="V59" s="340"/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0"/>
      <c r="AI59" s="111"/>
      <c r="AJ59" s="110"/>
      <c r="AK59" s="110"/>
      <c r="AL59" s="110"/>
      <c r="AM59" s="110"/>
      <c r="AN59" s="110"/>
      <c r="AO59" s="110"/>
      <c r="AP59" s="110"/>
      <c r="AQ59" s="110"/>
      <c r="AR59" s="110"/>
      <c r="AS59" s="344" t="str">
        <f ca="1">Sprache!$A$56</f>
        <v>T-105</v>
      </c>
      <c r="AT59" s="344"/>
      <c r="AU59" s="110"/>
      <c r="AV59" s="340" t="str">
        <f ca="1">Sprache!$A$59</f>
        <v>• Подходит для шкафов с другими корпусами сверху
• Надежно удерживает створку в любом положении от 45°
   до 100°
• Широкая область применения
• Функция открывания с усиленным механизмом</v>
      </c>
      <c r="AW59" s="340"/>
      <c r="AX59" s="340"/>
      <c r="AY59" s="340"/>
      <c r="AZ59" s="340"/>
      <c r="BA59" s="340"/>
      <c r="BB59" s="340"/>
      <c r="BC59" s="340"/>
      <c r="BD59" s="340"/>
      <c r="BE59" s="340"/>
      <c r="BF59" s="340"/>
      <c r="BG59" s="340"/>
      <c r="BH59" s="340"/>
      <c r="BI59" s="340"/>
      <c r="BJ59" s="340"/>
      <c r="BK59" s="340"/>
      <c r="BL59" s="340"/>
      <c r="BM59" s="340"/>
      <c r="BN59" s="340"/>
      <c r="BO59" s="111"/>
      <c r="BP59" s="33"/>
      <c r="BQ59" s="33"/>
      <c r="BR59" s="35"/>
    </row>
    <row r="60" spans="2:70" ht="12.75" customHeight="1" x14ac:dyDescent="0.25">
      <c r="B60" s="13"/>
      <c r="C60" s="13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3"/>
      <c r="BQ60" s="13"/>
    </row>
    <row r="61" spans="2:70" ht="12.7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13"/>
      <c r="BQ61" s="13"/>
    </row>
    <row r="62" spans="2:70" s="34" customFormat="1" ht="12.75" customHeight="1" x14ac:dyDescent="0.2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50"/>
      <c r="BN62" s="13"/>
      <c r="BO62" s="13"/>
      <c r="BP62" s="13"/>
      <c r="BQ62" s="13"/>
    </row>
    <row r="63" spans="2:70" s="34" customFormat="1" ht="12.75" customHeight="1" x14ac:dyDescent="0.25"/>
    <row r="64" spans="2:70" s="34" customFormat="1" ht="12.75" customHeight="1" x14ac:dyDescent="0.25"/>
    <row r="65" s="34" customFormat="1" ht="12.75" customHeight="1" x14ac:dyDescent="0.25"/>
    <row r="66" s="34" customFormat="1" ht="12.75" customHeight="1" x14ac:dyDescent="0.25"/>
    <row r="67" s="34" customFormat="1" ht="12.75" customHeight="1" x14ac:dyDescent="0.25"/>
    <row r="68" s="34" customFormat="1" ht="12.75" customHeight="1" x14ac:dyDescent="0.25"/>
    <row r="69" s="34" customFormat="1" ht="12.75" customHeight="1" x14ac:dyDescent="0.25"/>
    <row r="70" s="34" customFormat="1" ht="12.75" customHeight="1" x14ac:dyDescent="0.25"/>
    <row r="71" s="34" customFormat="1" ht="12.75" customHeight="1" x14ac:dyDescent="0.25"/>
    <row r="72" s="34" customFormat="1" ht="12.75" customHeight="1" x14ac:dyDescent="0.25"/>
    <row r="73" s="34" customFormat="1" ht="12.75" customHeight="1" x14ac:dyDescent="0.25"/>
    <row r="74" s="34" customFormat="1" ht="12.75" customHeight="1" x14ac:dyDescent="0.25"/>
    <row r="75" s="34" customFormat="1" ht="12.75" customHeight="1" x14ac:dyDescent="0.25"/>
    <row r="76" s="34" customFormat="1" ht="12.75" customHeight="1" x14ac:dyDescent="0.25"/>
    <row r="77" s="34" customFormat="1" ht="12.75" customHeight="1" x14ac:dyDescent="0.25"/>
    <row r="78" s="34" customFormat="1" ht="12.75" customHeight="1" x14ac:dyDescent="0.25"/>
    <row r="79" s="34" customFormat="1" ht="29.25" customHeight="1" x14ac:dyDescent="0.25"/>
    <row r="80" s="34" customFormat="1" ht="29.25" customHeight="1" x14ac:dyDescent="0.25"/>
    <row r="81" s="34" customFormat="1" ht="29.25" customHeight="1" x14ac:dyDescent="0.25"/>
    <row r="82" s="34" customFormat="1" ht="29.25" customHeight="1" x14ac:dyDescent="0.25"/>
    <row r="83" s="34" customFormat="1" x14ac:dyDescent="0.25"/>
    <row r="84" s="34" customFormat="1" x14ac:dyDescent="0.25"/>
    <row r="85" s="34" customFormat="1" x14ac:dyDescent="0.25"/>
    <row r="86" s="34" customFormat="1" x14ac:dyDescent="0.25"/>
    <row r="87" s="34" customFormat="1" x14ac:dyDescent="0.25"/>
    <row r="88" s="34" customFormat="1" x14ac:dyDescent="0.25"/>
    <row r="89" s="34" customFormat="1" x14ac:dyDescent="0.25"/>
    <row r="90" s="34" customFormat="1" x14ac:dyDescent="0.25"/>
    <row r="91" s="34" customFormat="1" x14ac:dyDescent="0.25"/>
    <row r="92" s="34" customFormat="1" x14ac:dyDescent="0.25"/>
    <row r="93" s="34" customFormat="1" x14ac:dyDescent="0.25"/>
    <row r="94" s="34" customFormat="1" x14ac:dyDescent="0.25"/>
    <row r="95" s="34" customFormat="1" x14ac:dyDescent="0.25"/>
    <row r="96" s="34" customFormat="1" x14ac:dyDescent="0.25"/>
    <row r="97" s="34" customFormat="1" x14ac:dyDescent="0.25"/>
    <row r="98" s="34" customFormat="1" x14ac:dyDescent="0.25"/>
    <row r="99" s="34" customFormat="1" x14ac:dyDescent="0.25"/>
    <row r="100" s="34" customFormat="1" x14ac:dyDescent="0.25"/>
    <row r="101" s="34" customFormat="1" x14ac:dyDescent="0.25"/>
    <row r="102" s="34" customFormat="1" x14ac:dyDescent="0.25"/>
    <row r="103" s="34" customFormat="1" x14ac:dyDescent="0.25"/>
    <row r="104" s="34" customFormat="1" x14ac:dyDescent="0.25"/>
    <row r="105" s="34" customFormat="1" x14ac:dyDescent="0.25"/>
    <row r="106" s="34" customFormat="1" x14ac:dyDescent="0.25"/>
    <row r="107" s="34" customFormat="1" x14ac:dyDescent="0.25"/>
    <row r="108" s="34" customFormat="1" x14ac:dyDescent="0.25"/>
    <row r="109" s="34" customFormat="1" x14ac:dyDescent="0.25"/>
    <row r="110" s="34" customFormat="1" x14ac:dyDescent="0.25"/>
    <row r="111" s="34" customFormat="1" x14ac:dyDescent="0.25"/>
    <row r="112" s="34" customFormat="1" x14ac:dyDescent="0.25"/>
    <row r="113" s="34" customFormat="1" x14ac:dyDescent="0.25"/>
    <row r="114" s="34" customFormat="1" x14ac:dyDescent="0.25"/>
    <row r="115" s="34" customFormat="1" x14ac:dyDescent="0.25"/>
    <row r="116" s="34" customFormat="1" x14ac:dyDescent="0.25"/>
    <row r="117" s="34" customFormat="1" x14ac:dyDescent="0.25"/>
    <row r="118" s="34" customFormat="1" x14ac:dyDescent="0.25"/>
    <row r="119" s="34" customFormat="1" x14ac:dyDescent="0.25"/>
    <row r="120" s="34" customFormat="1" x14ac:dyDescent="0.25"/>
    <row r="121" s="34" customFormat="1" x14ac:dyDescent="0.25"/>
    <row r="122" s="34" customFormat="1" x14ac:dyDescent="0.25"/>
    <row r="123" s="34" customFormat="1" x14ac:dyDescent="0.25"/>
    <row r="124" s="34" customFormat="1" x14ac:dyDescent="0.25"/>
    <row r="125" s="34" customFormat="1" x14ac:dyDescent="0.25"/>
    <row r="126" s="34" customFormat="1" x14ac:dyDescent="0.25"/>
    <row r="127" s="34" customFormat="1" x14ac:dyDescent="0.25"/>
    <row r="128" s="34" customFormat="1" x14ac:dyDescent="0.25"/>
    <row r="129" s="34" customFormat="1" x14ac:dyDescent="0.25"/>
    <row r="130" s="34" customFormat="1" x14ac:dyDescent="0.25"/>
    <row r="131" s="34" customFormat="1" x14ac:dyDescent="0.25"/>
    <row r="132" s="34" customFormat="1" x14ac:dyDescent="0.25"/>
    <row r="133" s="34" customFormat="1" x14ac:dyDescent="0.25"/>
    <row r="134" s="34" customFormat="1" x14ac:dyDescent="0.25"/>
    <row r="135" s="34" customFormat="1" x14ac:dyDescent="0.25"/>
    <row r="136" s="34" customFormat="1" x14ac:dyDescent="0.25"/>
    <row r="137" s="34" customFormat="1" x14ac:dyDescent="0.25"/>
    <row r="138" s="34" customFormat="1" x14ac:dyDescent="0.25"/>
    <row r="139" s="34" customFormat="1" x14ac:dyDescent="0.25"/>
    <row r="140" s="34" customFormat="1" x14ac:dyDescent="0.25"/>
    <row r="141" s="34" customFormat="1" x14ac:dyDescent="0.25"/>
    <row r="142" s="34" customFormat="1" x14ac:dyDescent="0.25"/>
    <row r="143" s="34" customFormat="1" x14ac:dyDescent="0.25"/>
    <row r="144" s="34" customFormat="1" x14ac:dyDescent="0.25"/>
    <row r="145" s="34" customFormat="1" x14ac:dyDescent="0.25"/>
    <row r="146" s="34" customFormat="1" x14ac:dyDescent="0.25"/>
    <row r="147" s="34" customFormat="1" x14ac:dyDescent="0.25"/>
    <row r="148" s="34" customFormat="1" x14ac:dyDescent="0.25"/>
    <row r="149" s="34" customFormat="1" x14ac:dyDescent="0.25"/>
    <row r="150" s="34" customFormat="1" x14ac:dyDescent="0.25"/>
    <row r="151" s="34" customFormat="1" x14ac:dyDescent="0.25"/>
    <row r="152" s="34" customFormat="1" x14ac:dyDescent="0.25"/>
    <row r="153" s="34" customFormat="1" x14ac:dyDescent="0.25"/>
    <row r="154" s="34" customFormat="1" x14ac:dyDescent="0.25"/>
    <row r="155" s="34" customFormat="1" x14ac:dyDescent="0.25"/>
    <row r="156" s="34" customFormat="1" x14ac:dyDescent="0.25"/>
    <row r="157" s="34" customFormat="1" x14ac:dyDescent="0.25"/>
    <row r="158" s="34" customFormat="1" x14ac:dyDescent="0.25"/>
    <row r="159" s="34" customFormat="1" x14ac:dyDescent="0.25"/>
    <row r="160" s="34" customFormat="1" x14ac:dyDescent="0.25"/>
    <row r="161" s="34" customFormat="1" x14ac:dyDescent="0.25"/>
    <row r="162" s="34" customFormat="1" x14ac:dyDescent="0.25"/>
    <row r="163" s="34" customFormat="1" x14ac:dyDescent="0.25"/>
    <row r="164" s="34" customFormat="1" x14ac:dyDescent="0.25"/>
    <row r="165" s="34" customFormat="1" x14ac:dyDescent="0.25"/>
    <row r="166" s="34" customFormat="1" x14ac:dyDescent="0.25"/>
    <row r="167" s="34" customFormat="1" x14ac:dyDescent="0.25"/>
    <row r="168" s="34" customFormat="1" x14ac:dyDescent="0.25"/>
    <row r="169" s="34" customFormat="1" x14ac:dyDescent="0.25"/>
    <row r="170" s="34" customFormat="1" x14ac:dyDescent="0.25"/>
    <row r="171" s="34" customFormat="1" x14ac:dyDescent="0.25"/>
    <row r="172" s="34" customFormat="1" x14ac:dyDescent="0.25"/>
    <row r="173" s="34" customFormat="1" x14ac:dyDescent="0.25"/>
    <row r="174" s="34" customFormat="1" x14ac:dyDescent="0.25"/>
    <row r="175" s="34" customFormat="1" x14ac:dyDescent="0.25"/>
    <row r="176" s="34" customFormat="1" x14ac:dyDescent="0.25"/>
    <row r="177" s="34" customFormat="1" x14ac:dyDescent="0.25"/>
    <row r="178" s="34" customFormat="1" x14ac:dyDescent="0.25"/>
    <row r="179" s="34" customFormat="1" x14ac:dyDescent="0.25"/>
    <row r="180" s="34" customFormat="1" x14ac:dyDescent="0.25"/>
    <row r="181" s="34" customFormat="1" x14ac:dyDescent="0.25"/>
    <row r="182" s="34" customFormat="1" x14ac:dyDescent="0.25"/>
    <row r="183" s="34" customFormat="1" x14ac:dyDescent="0.25"/>
    <row r="184" s="34" customFormat="1" x14ac:dyDescent="0.25"/>
    <row r="185" s="34" customFormat="1" x14ac:dyDescent="0.25"/>
    <row r="186" s="34" customFormat="1" x14ac:dyDescent="0.25"/>
    <row r="187" s="34" customFormat="1" x14ac:dyDescent="0.25"/>
    <row r="188" s="34" customFormat="1" x14ac:dyDescent="0.25"/>
    <row r="189" s="34" customFormat="1" x14ac:dyDescent="0.25"/>
    <row r="190" s="34" customFormat="1" x14ac:dyDescent="0.25"/>
    <row r="191" s="34" customFormat="1" x14ac:dyDescent="0.25"/>
    <row r="192" s="34" customFormat="1" x14ac:dyDescent="0.25"/>
    <row r="193" s="34" customFormat="1" x14ac:dyDescent="0.25"/>
    <row r="194" s="34" customFormat="1" x14ac:dyDescent="0.25"/>
    <row r="195" s="34" customFormat="1" x14ac:dyDescent="0.25"/>
    <row r="196" s="34" customFormat="1" x14ac:dyDescent="0.25"/>
    <row r="197" s="34" customFormat="1" x14ac:dyDescent="0.25"/>
    <row r="198" s="34" customFormat="1" x14ac:dyDescent="0.25"/>
    <row r="199" s="34" customFormat="1" x14ac:dyDescent="0.25"/>
    <row r="200" s="34" customFormat="1" x14ac:dyDescent="0.25"/>
    <row r="201" s="34" customFormat="1" x14ac:dyDescent="0.25"/>
    <row r="202" s="34" customFormat="1" x14ac:dyDescent="0.25"/>
    <row r="203" s="34" customFormat="1" x14ac:dyDescent="0.25"/>
    <row r="204" s="34" customFormat="1" x14ac:dyDescent="0.25"/>
    <row r="205" s="34" customFormat="1" x14ac:dyDescent="0.25"/>
    <row r="206" s="34" customFormat="1" x14ac:dyDescent="0.25"/>
    <row r="207" s="34" customFormat="1" x14ac:dyDescent="0.25"/>
    <row r="208" s="34" customFormat="1" x14ac:dyDescent="0.25"/>
    <row r="209" s="34" customFormat="1" x14ac:dyDescent="0.25"/>
    <row r="210" s="34" customFormat="1" x14ac:dyDescent="0.25"/>
    <row r="211" s="34" customFormat="1" x14ac:dyDescent="0.25"/>
    <row r="212" s="34" customFormat="1" x14ac:dyDescent="0.25"/>
    <row r="213" s="34" customFormat="1" x14ac:dyDescent="0.25"/>
    <row r="214" s="34" customFormat="1" x14ac:dyDescent="0.25"/>
    <row r="215" s="34" customFormat="1" x14ac:dyDescent="0.25"/>
    <row r="216" s="34" customFormat="1" x14ac:dyDescent="0.25"/>
    <row r="217" s="34" customFormat="1" x14ac:dyDescent="0.25"/>
    <row r="218" s="34" customFormat="1" x14ac:dyDescent="0.25"/>
    <row r="219" s="34" customFormat="1" x14ac:dyDescent="0.25"/>
    <row r="220" s="34" customFormat="1" x14ac:dyDescent="0.25"/>
    <row r="221" s="34" customFormat="1" x14ac:dyDescent="0.25"/>
    <row r="222" s="34" customFormat="1" x14ac:dyDescent="0.25"/>
    <row r="223" s="34" customFormat="1" x14ac:dyDescent="0.25"/>
    <row r="224" s="34" customFormat="1" x14ac:dyDescent="0.25"/>
    <row r="225" s="34" customFormat="1" x14ac:dyDescent="0.25"/>
    <row r="226" s="34" customFormat="1" x14ac:dyDescent="0.25"/>
    <row r="227" s="34" customFormat="1" x14ac:dyDescent="0.25"/>
    <row r="228" s="34" customFormat="1" x14ac:dyDescent="0.25"/>
    <row r="229" s="34" customFormat="1" x14ac:dyDescent="0.25"/>
    <row r="230" s="34" customFormat="1" x14ac:dyDescent="0.25"/>
    <row r="231" s="34" customFormat="1" x14ac:dyDescent="0.25"/>
    <row r="232" s="34" customFormat="1" x14ac:dyDescent="0.25"/>
    <row r="233" s="34" customFormat="1" x14ac:dyDescent="0.25"/>
    <row r="234" s="34" customFormat="1" x14ac:dyDescent="0.25"/>
    <row r="235" s="34" customFormat="1" x14ac:dyDescent="0.25"/>
    <row r="236" s="34" customFormat="1" x14ac:dyDescent="0.25"/>
    <row r="237" s="34" customFormat="1" x14ac:dyDescent="0.25"/>
    <row r="238" s="34" customFormat="1" x14ac:dyDescent="0.25"/>
    <row r="239" s="34" customFormat="1" x14ac:dyDescent="0.25"/>
    <row r="240" s="34" customFormat="1" x14ac:dyDescent="0.25"/>
    <row r="241" s="34" customFormat="1" x14ac:dyDescent="0.25"/>
    <row r="242" s="34" customFormat="1" x14ac:dyDescent="0.25"/>
    <row r="243" s="34" customFormat="1" x14ac:dyDescent="0.25"/>
    <row r="244" s="34" customFormat="1" x14ac:dyDescent="0.25"/>
    <row r="245" s="34" customFormat="1" x14ac:dyDescent="0.25"/>
    <row r="246" s="34" customFormat="1" x14ac:dyDescent="0.25"/>
    <row r="247" s="34" customFormat="1" x14ac:dyDescent="0.25"/>
    <row r="248" s="34" customFormat="1" x14ac:dyDescent="0.25"/>
    <row r="249" s="34" customFormat="1" x14ac:dyDescent="0.25"/>
    <row r="250" s="34" customFormat="1" x14ac:dyDescent="0.25"/>
    <row r="251" s="34" customFormat="1" x14ac:dyDescent="0.25"/>
    <row r="252" s="34" customFormat="1" x14ac:dyDescent="0.25"/>
    <row r="253" s="34" customFormat="1" x14ac:dyDescent="0.25"/>
    <row r="254" s="34" customFormat="1" x14ac:dyDescent="0.25"/>
    <row r="255" s="34" customFormat="1" x14ac:dyDescent="0.25"/>
    <row r="256" s="34" customFormat="1" x14ac:dyDescent="0.25"/>
    <row r="257" s="34" customFormat="1" x14ac:dyDescent="0.25"/>
    <row r="258" s="34" customFormat="1" x14ac:dyDescent="0.25"/>
    <row r="259" s="34" customFormat="1" x14ac:dyDescent="0.25"/>
    <row r="260" s="34" customFormat="1" x14ac:dyDescent="0.25"/>
    <row r="261" s="34" customFormat="1" x14ac:dyDescent="0.25"/>
    <row r="262" s="34" customFormat="1" x14ac:dyDescent="0.25"/>
    <row r="263" s="34" customFormat="1" x14ac:dyDescent="0.25"/>
    <row r="264" s="34" customFormat="1" x14ac:dyDescent="0.25"/>
    <row r="265" s="34" customFormat="1" x14ac:dyDescent="0.25"/>
    <row r="266" s="34" customFormat="1" x14ac:dyDescent="0.25"/>
    <row r="267" s="34" customFormat="1" x14ac:dyDescent="0.25"/>
    <row r="268" s="34" customFormat="1" x14ac:dyDescent="0.25"/>
    <row r="269" s="34" customFormat="1" x14ac:dyDescent="0.25"/>
    <row r="270" s="34" customFormat="1" x14ac:dyDescent="0.25"/>
    <row r="271" s="34" customFormat="1" x14ac:dyDescent="0.25"/>
    <row r="272" s="34" customFormat="1" x14ac:dyDescent="0.25"/>
    <row r="273" s="34" customFormat="1" x14ac:dyDescent="0.25"/>
    <row r="274" s="34" customFormat="1" x14ac:dyDescent="0.25"/>
    <row r="275" s="34" customFormat="1" x14ac:dyDescent="0.25"/>
    <row r="276" s="34" customFormat="1" x14ac:dyDescent="0.25"/>
    <row r="277" s="34" customFormat="1" x14ac:dyDescent="0.25"/>
    <row r="278" s="34" customFormat="1" x14ac:dyDescent="0.25"/>
    <row r="279" s="34" customFormat="1" x14ac:dyDescent="0.25"/>
    <row r="280" s="34" customFormat="1" x14ac:dyDescent="0.25"/>
    <row r="281" s="34" customFormat="1" x14ac:dyDescent="0.25"/>
    <row r="282" s="34" customFormat="1" x14ac:dyDescent="0.25"/>
    <row r="283" s="34" customFormat="1" x14ac:dyDescent="0.25"/>
    <row r="284" s="34" customFormat="1" x14ac:dyDescent="0.25"/>
    <row r="285" s="34" customFormat="1" x14ac:dyDescent="0.25"/>
    <row r="286" s="34" customFormat="1" x14ac:dyDescent="0.25"/>
    <row r="287" s="34" customFormat="1" x14ac:dyDescent="0.25"/>
    <row r="288" s="34" customFormat="1" x14ac:dyDescent="0.25"/>
    <row r="289" s="34" customFormat="1" x14ac:dyDescent="0.25"/>
    <row r="290" s="34" customFormat="1" x14ac:dyDescent="0.25"/>
    <row r="291" s="34" customFormat="1" x14ac:dyDescent="0.25"/>
    <row r="292" s="34" customFormat="1" x14ac:dyDescent="0.25"/>
    <row r="293" s="34" customFormat="1" x14ac:dyDescent="0.25"/>
    <row r="294" s="34" customFormat="1" x14ac:dyDescent="0.25"/>
    <row r="295" s="34" customFormat="1" x14ac:dyDescent="0.25"/>
    <row r="296" s="34" customFormat="1" x14ac:dyDescent="0.25"/>
    <row r="297" s="34" customFormat="1" x14ac:dyDescent="0.25"/>
    <row r="298" s="34" customFormat="1" x14ac:dyDescent="0.25"/>
    <row r="299" s="34" customFormat="1" x14ac:dyDescent="0.25"/>
    <row r="300" s="34" customFormat="1" x14ac:dyDescent="0.25"/>
    <row r="301" s="34" customFormat="1" x14ac:dyDescent="0.25"/>
    <row r="302" s="34" customFormat="1" x14ac:dyDescent="0.25"/>
    <row r="303" s="34" customFormat="1" x14ac:dyDescent="0.25"/>
    <row r="304" s="34" customFormat="1" x14ac:dyDescent="0.25"/>
    <row r="305" s="34" customFormat="1" x14ac:dyDescent="0.25"/>
    <row r="306" s="34" customFormat="1" x14ac:dyDescent="0.25"/>
    <row r="307" s="34" customFormat="1" x14ac:dyDescent="0.25"/>
    <row r="308" s="34" customFormat="1" x14ac:dyDescent="0.25"/>
    <row r="309" s="34" customFormat="1" x14ac:dyDescent="0.25"/>
    <row r="310" s="34" customFormat="1" x14ac:dyDescent="0.25"/>
    <row r="311" s="34" customFormat="1" x14ac:dyDescent="0.25"/>
    <row r="312" s="34" customFormat="1" x14ac:dyDescent="0.25"/>
    <row r="313" s="34" customFormat="1" x14ac:dyDescent="0.25"/>
    <row r="314" s="34" customFormat="1" x14ac:dyDescent="0.25"/>
    <row r="315" s="34" customFormat="1" x14ac:dyDescent="0.25"/>
    <row r="316" s="34" customFormat="1" x14ac:dyDescent="0.25"/>
    <row r="317" s="34" customFormat="1" x14ac:dyDescent="0.25"/>
    <row r="318" s="34" customFormat="1" x14ac:dyDescent="0.25"/>
    <row r="319" s="34" customFormat="1" x14ac:dyDescent="0.25"/>
    <row r="320" s="34" customFormat="1" x14ac:dyDescent="0.25"/>
    <row r="321" s="34" customFormat="1" x14ac:dyDescent="0.25"/>
    <row r="322" s="34" customFormat="1" x14ac:dyDescent="0.25"/>
    <row r="323" s="34" customFormat="1" x14ac:dyDescent="0.25"/>
    <row r="324" s="34" customFormat="1" x14ac:dyDescent="0.25"/>
    <row r="325" s="34" customFormat="1" x14ac:dyDescent="0.25"/>
    <row r="326" s="34" customFormat="1" x14ac:dyDescent="0.25"/>
    <row r="327" s="34" customFormat="1" x14ac:dyDescent="0.25"/>
    <row r="328" s="34" customFormat="1" x14ac:dyDescent="0.25"/>
    <row r="329" s="34" customFormat="1" x14ac:dyDescent="0.25"/>
    <row r="330" s="34" customFormat="1" x14ac:dyDescent="0.25"/>
    <row r="331" s="34" customFormat="1" x14ac:dyDescent="0.25"/>
    <row r="332" s="34" customFormat="1" x14ac:dyDescent="0.25"/>
    <row r="333" s="34" customFormat="1" x14ac:dyDescent="0.25"/>
    <row r="334" s="34" customFormat="1" x14ac:dyDescent="0.25"/>
    <row r="335" s="34" customFormat="1" x14ac:dyDescent="0.25"/>
    <row r="336" s="34" customFormat="1" x14ac:dyDescent="0.25"/>
    <row r="337" s="34" customFormat="1" x14ac:dyDescent="0.25"/>
    <row r="338" s="34" customFormat="1" x14ac:dyDescent="0.25"/>
    <row r="339" s="34" customFormat="1" x14ac:dyDescent="0.25"/>
    <row r="340" s="34" customFormat="1" x14ac:dyDescent="0.25"/>
    <row r="341" s="34" customFormat="1" x14ac:dyDescent="0.25"/>
    <row r="342" s="34" customFormat="1" x14ac:dyDescent="0.25"/>
    <row r="343" s="34" customFormat="1" x14ac:dyDescent="0.25"/>
    <row r="344" s="34" customFormat="1" x14ac:dyDescent="0.25"/>
    <row r="345" s="34" customFormat="1" x14ac:dyDescent="0.25"/>
    <row r="346" s="34" customFormat="1" x14ac:dyDescent="0.25"/>
    <row r="347" s="34" customFormat="1" x14ac:dyDescent="0.25"/>
    <row r="348" s="34" customFormat="1" x14ac:dyDescent="0.25"/>
    <row r="349" s="34" customFormat="1" x14ac:dyDescent="0.25"/>
    <row r="350" s="34" customFormat="1" x14ac:dyDescent="0.25"/>
    <row r="351" s="34" customFormat="1" x14ac:dyDescent="0.25"/>
    <row r="352" s="34" customFormat="1" x14ac:dyDescent="0.25"/>
    <row r="353" s="34" customFormat="1" x14ac:dyDescent="0.25"/>
    <row r="354" s="34" customFormat="1" x14ac:dyDescent="0.25"/>
    <row r="355" s="34" customFormat="1" x14ac:dyDescent="0.25"/>
    <row r="356" s="34" customFormat="1" x14ac:dyDescent="0.25"/>
    <row r="357" s="34" customFormat="1" x14ac:dyDescent="0.25"/>
    <row r="358" s="34" customFormat="1" x14ac:dyDescent="0.25"/>
    <row r="359" s="34" customFormat="1" x14ac:dyDescent="0.25"/>
    <row r="360" s="34" customFormat="1" x14ac:dyDescent="0.25"/>
    <row r="361" s="34" customFormat="1" x14ac:dyDescent="0.25"/>
    <row r="362" s="34" customFormat="1" x14ac:dyDescent="0.25"/>
    <row r="363" s="34" customFormat="1" x14ac:dyDescent="0.25"/>
    <row r="364" s="34" customFormat="1" x14ac:dyDescent="0.25"/>
    <row r="365" s="34" customFormat="1" x14ac:dyDescent="0.25"/>
    <row r="366" s="34" customFormat="1" x14ac:dyDescent="0.25"/>
    <row r="367" s="34" customFormat="1" x14ac:dyDescent="0.25"/>
    <row r="368" s="34" customFormat="1" x14ac:dyDescent="0.25"/>
    <row r="369" s="34" customFormat="1" x14ac:dyDescent="0.25"/>
    <row r="370" s="34" customFormat="1" x14ac:dyDescent="0.25"/>
    <row r="371" s="34" customFormat="1" x14ac:dyDescent="0.25"/>
    <row r="372" s="34" customFormat="1" x14ac:dyDescent="0.25"/>
    <row r="373" s="34" customFormat="1" x14ac:dyDescent="0.25"/>
    <row r="374" s="34" customFormat="1" x14ac:dyDescent="0.25"/>
    <row r="375" s="34" customFormat="1" x14ac:dyDescent="0.25"/>
    <row r="376" s="34" customFormat="1" x14ac:dyDescent="0.25"/>
    <row r="377" s="34" customFormat="1" x14ac:dyDescent="0.25"/>
    <row r="378" s="34" customFormat="1" x14ac:dyDescent="0.25"/>
    <row r="379" s="34" customFormat="1" x14ac:dyDescent="0.25"/>
    <row r="380" s="34" customFormat="1" x14ac:dyDescent="0.25"/>
    <row r="381" s="34" customFormat="1" x14ac:dyDescent="0.25"/>
    <row r="382" s="34" customFormat="1" x14ac:dyDescent="0.25"/>
    <row r="383" s="34" customFormat="1" x14ac:dyDescent="0.25"/>
    <row r="384" s="34" customFormat="1" x14ac:dyDescent="0.25"/>
    <row r="385" s="34" customFormat="1" x14ac:dyDescent="0.25"/>
    <row r="386" s="34" customFormat="1" x14ac:dyDescent="0.25"/>
    <row r="387" s="34" customFormat="1" x14ac:dyDescent="0.25"/>
    <row r="388" s="34" customFormat="1" x14ac:dyDescent="0.25"/>
    <row r="389" s="34" customFormat="1" x14ac:dyDescent="0.25"/>
    <row r="390" s="34" customFormat="1" x14ac:dyDescent="0.25"/>
    <row r="391" s="34" customFormat="1" x14ac:dyDescent="0.25"/>
    <row r="392" s="34" customFormat="1" x14ac:dyDescent="0.25"/>
    <row r="393" s="34" customFormat="1" x14ac:dyDescent="0.25"/>
    <row r="394" s="34" customFormat="1" x14ac:dyDescent="0.25"/>
    <row r="395" s="34" customFormat="1" x14ac:dyDescent="0.25"/>
    <row r="396" s="34" customFormat="1" x14ac:dyDescent="0.25"/>
    <row r="397" s="34" customFormat="1" x14ac:dyDescent="0.25"/>
    <row r="398" s="34" customFormat="1" x14ac:dyDescent="0.25"/>
    <row r="399" s="34" customFormat="1" x14ac:dyDescent="0.25"/>
    <row r="400" s="34" customFormat="1" x14ac:dyDescent="0.25"/>
    <row r="401" s="34" customFormat="1" x14ac:dyDescent="0.25"/>
    <row r="402" s="34" customFormat="1" x14ac:dyDescent="0.25"/>
    <row r="403" s="34" customFormat="1" x14ac:dyDescent="0.25"/>
    <row r="404" s="34" customFormat="1" x14ac:dyDescent="0.25"/>
    <row r="405" s="34" customFormat="1" x14ac:dyDescent="0.25"/>
    <row r="406" s="34" customFormat="1" x14ac:dyDescent="0.25"/>
    <row r="407" s="34" customFormat="1" x14ac:dyDescent="0.25"/>
    <row r="408" s="34" customFormat="1" x14ac:dyDescent="0.25"/>
    <row r="409" s="34" customFormat="1" x14ac:dyDescent="0.25"/>
    <row r="410" s="34" customFormat="1" x14ac:dyDescent="0.25"/>
    <row r="411" s="34" customFormat="1" x14ac:dyDescent="0.25"/>
    <row r="412" s="34" customFormat="1" x14ac:dyDescent="0.25"/>
    <row r="413" s="34" customFormat="1" x14ac:dyDescent="0.25"/>
    <row r="414" s="34" customFormat="1" x14ac:dyDescent="0.25"/>
    <row r="415" s="34" customFormat="1" x14ac:dyDescent="0.25"/>
    <row r="416" s="34" customFormat="1" x14ac:dyDescent="0.25"/>
    <row r="417" s="34" customFormat="1" x14ac:dyDescent="0.25"/>
    <row r="418" s="34" customFormat="1" x14ac:dyDescent="0.25"/>
    <row r="419" s="34" customFormat="1" x14ac:dyDescent="0.25"/>
    <row r="420" s="34" customFormat="1" x14ac:dyDescent="0.25"/>
    <row r="421" s="34" customFormat="1" x14ac:dyDescent="0.25"/>
    <row r="422" s="34" customFormat="1" x14ac:dyDescent="0.25"/>
    <row r="423" s="34" customFormat="1" x14ac:dyDescent="0.25"/>
    <row r="424" s="34" customFormat="1" x14ac:dyDescent="0.25"/>
    <row r="425" s="34" customFormat="1" x14ac:dyDescent="0.25"/>
    <row r="426" s="34" customFormat="1" x14ac:dyDescent="0.25"/>
    <row r="427" s="34" customFormat="1" x14ac:dyDescent="0.25"/>
    <row r="428" s="34" customFormat="1" x14ac:dyDescent="0.25"/>
    <row r="429" s="34" customFormat="1" x14ac:dyDescent="0.25"/>
    <row r="430" s="34" customFormat="1" x14ac:dyDescent="0.25"/>
    <row r="431" s="34" customFormat="1" x14ac:dyDescent="0.25"/>
    <row r="432" s="34" customFormat="1" x14ac:dyDescent="0.25"/>
    <row r="433" s="34" customFormat="1" x14ac:dyDescent="0.25"/>
    <row r="434" s="34" customFormat="1" x14ac:dyDescent="0.25"/>
    <row r="435" s="34" customFormat="1" x14ac:dyDescent="0.25"/>
    <row r="436" s="34" customFormat="1" x14ac:dyDescent="0.25"/>
    <row r="437" s="34" customFormat="1" x14ac:dyDescent="0.25"/>
    <row r="438" s="34" customFormat="1" x14ac:dyDescent="0.25"/>
    <row r="439" s="34" customFormat="1" x14ac:dyDescent="0.25"/>
    <row r="440" s="34" customFormat="1" x14ac:dyDescent="0.25"/>
    <row r="441" s="34" customFormat="1" x14ac:dyDescent="0.25"/>
    <row r="442" s="34" customFormat="1" x14ac:dyDescent="0.25"/>
    <row r="443" s="34" customFormat="1" x14ac:dyDescent="0.25"/>
    <row r="444" s="34" customFormat="1" x14ac:dyDescent="0.25"/>
    <row r="445" s="34" customFormat="1" x14ac:dyDescent="0.25"/>
    <row r="446" s="34" customFormat="1" x14ac:dyDescent="0.25"/>
    <row r="447" s="34" customFormat="1" x14ac:dyDescent="0.25"/>
    <row r="448" s="34" customFormat="1" x14ac:dyDescent="0.25"/>
    <row r="449" s="34" customFormat="1" x14ac:dyDescent="0.25"/>
    <row r="450" s="34" customFormat="1" x14ac:dyDescent="0.25"/>
    <row r="451" s="34" customFormat="1" x14ac:dyDescent="0.25"/>
    <row r="452" s="34" customFormat="1" x14ac:dyDescent="0.25"/>
    <row r="453" s="34" customFormat="1" x14ac:dyDescent="0.25"/>
    <row r="454" s="34" customFormat="1" x14ac:dyDescent="0.25"/>
    <row r="455" s="34" customFormat="1" x14ac:dyDescent="0.25"/>
    <row r="456" s="34" customFormat="1" x14ac:dyDescent="0.25"/>
    <row r="457" s="34" customFormat="1" x14ac:dyDescent="0.25"/>
    <row r="458" s="34" customFormat="1" x14ac:dyDescent="0.25"/>
    <row r="459" s="34" customFormat="1" x14ac:dyDescent="0.25"/>
    <row r="460" s="34" customFormat="1" x14ac:dyDescent="0.25"/>
    <row r="461" s="34" customFormat="1" x14ac:dyDescent="0.25"/>
    <row r="462" s="34" customFormat="1" x14ac:dyDescent="0.25"/>
    <row r="463" s="34" customFormat="1" x14ac:dyDescent="0.25"/>
    <row r="464" s="34" customFormat="1" x14ac:dyDescent="0.25"/>
    <row r="465" s="34" customFormat="1" x14ac:dyDescent="0.25"/>
    <row r="466" s="34" customFormat="1" x14ac:dyDescent="0.25"/>
    <row r="467" s="34" customFormat="1" x14ac:dyDescent="0.25"/>
    <row r="468" s="34" customFormat="1" x14ac:dyDescent="0.25"/>
    <row r="469" s="34" customFormat="1" x14ac:dyDescent="0.25"/>
    <row r="470" s="34" customFormat="1" x14ac:dyDescent="0.25"/>
    <row r="471" s="34" customFormat="1" x14ac:dyDescent="0.25"/>
    <row r="472" s="34" customFormat="1" x14ac:dyDescent="0.25"/>
    <row r="473" s="34" customFormat="1" x14ac:dyDescent="0.25"/>
    <row r="474" s="34" customFormat="1" x14ac:dyDescent="0.25"/>
    <row r="475" s="34" customFormat="1" x14ac:dyDescent="0.25"/>
    <row r="476" s="34" customFormat="1" x14ac:dyDescent="0.25"/>
    <row r="477" s="34" customFormat="1" x14ac:dyDescent="0.25"/>
    <row r="478" s="34" customFormat="1" x14ac:dyDescent="0.25"/>
    <row r="479" s="34" customFormat="1" x14ac:dyDescent="0.25"/>
    <row r="480" s="34" customFormat="1" x14ac:dyDescent="0.25"/>
    <row r="481" s="34" customFormat="1" x14ac:dyDescent="0.25"/>
    <row r="482" s="34" customFormat="1" x14ac:dyDescent="0.25"/>
    <row r="483" s="34" customFormat="1" x14ac:dyDescent="0.25"/>
    <row r="484" s="34" customFormat="1" x14ac:dyDescent="0.25"/>
    <row r="485" s="34" customFormat="1" x14ac:dyDescent="0.25"/>
    <row r="486" s="34" customFormat="1" x14ac:dyDescent="0.25"/>
    <row r="487" s="34" customFormat="1" x14ac:dyDescent="0.25"/>
    <row r="488" s="34" customFormat="1" x14ac:dyDescent="0.25"/>
    <row r="489" s="34" customFormat="1" x14ac:dyDescent="0.25"/>
    <row r="490" s="34" customFormat="1" x14ac:dyDescent="0.25"/>
    <row r="491" s="34" customFormat="1" x14ac:dyDescent="0.25"/>
    <row r="492" s="34" customFormat="1" x14ac:dyDescent="0.25"/>
    <row r="493" s="34" customFormat="1" x14ac:dyDescent="0.25"/>
    <row r="494" s="34" customFormat="1" x14ac:dyDescent="0.25"/>
    <row r="495" s="34" customFormat="1" x14ac:dyDescent="0.25"/>
    <row r="496" s="34" customFormat="1" x14ac:dyDescent="0.25"/>
    <row r="497" s="34" customFormat="1" x14ac:dyDescent="0.25"/>
    <row r="498" s="34" customFormat="1" x14ac:dyDescent="0.25"/>
    <row r="499" s="34" customFormat="1" x14ac:dyDescent="0.25"/>
    <row r="500" s="34" customFormat="1" x14ac:dyDescent="0.25"/>
    <row r="501" s="34" customFormat="1" x14ac:dyDescent="0.25"/>
    <row r="502" s="34" customFormat="1" x14ac:dyDescent="0.25"/>
    <row r="503" s="34" customFormat="1" x14ac:dyDescent="0.25"/>
    <row r="504" s="34" customFormat="1" x14ac:dyDescent="0.25"/>
    <row r="505" s="34" customFormat="1" x14ac:dyDescent="0.25"/>
    <row r="506" s="34" customFormat="1" x14ac:dyDescent="0.25"/>
    <row r="507" s="34" customFormat="1" x14ac:dyDescent="0.25"/>
    <row r="508" s="34" customFormat="1" x14ac:dyDescent="0.25"/>
    <row r="509" s="34" customFormat="1" x14ac:dyDescent="0.25"/>
    <row r="510" s="34" customFormat="1" x14ac:dyDescent="0.25"/>
    <row r="511" s="34" customFormat="1" x14ac:dyDescent="0.25"/>
    <row r="512" s="34" customFormat="1" x14ac:dyDescent="0.25"/>
    <row r="513" s="34" customFormat="1" x14ac:dyDescent="0.25"/>
    <row r="514" s="34" customFormat="1" x14ac:dyDescent="0.25"/>
    <row r="515" s="34" customFormat="1" x14ac:dyDescent="0.25"/>
    <row r="516" s="34" customFormat="1" x14ac:dyDescent="0.25"/>
    <row r="517" s="34" customFormat="1" x14ac:dyDescent="0.25"/>
    <row r="518" s="34" customFormat="1" x14ac:dyDescent="0.25"/>
    <row r="519" s="34" customFormat="1" x14ac:dyDescent="0.25"/>
    <row r="520" s="34" customFormat="1" x14ac:dyDescent="0.25"/>
    <row r="521" s="34" customFormat="1" x14ac:dyDescent="0.25"/>
    <row r="522" s="34" customFormat="1" x14ac:dyDescent="0.25"/>
    <row r="523" s="34" customFormat="1" x14ac:dyDescent="0.25"/>
    <row r="524" s="34" customFormat="1" x14ac:dyDescent="0.25"/>
    <row r="525" s="34" customFormat="1" x14ac:dyDescent="0.25"/>
    <row r="526" s="34" customFormat="1" x14ac:dyDescent="0.25"/>
    <row r="527" s="34" customFormat="1" x14ac:dyDescent="0.25"/>
    <row r="528" s="34" customFormat="1" x14ac:dyDescent="0.25"/>
    <row r="529" s="34" customFormat="1" x14ac:dyDescent="0.25"/>
    <row r="530" s="34" customFormat="1" x14ac:dyDescent="0.25"/>
    <row r="531" s="34" customFormat="1" x14ac:dyDescent="0.25"/>
    <row r="532" s="34" customFormat="1" x14ac:dyDescent="0.25"/>
    <row r="533" s="34" customFormat="1" x14ac:dyDescent="0.25"/>
    <row r="534" s="34" customFormat="1" x14ac:dyDescent="0.25"/>
    <row r="535" s="34" customFormat="1" x14ac:dyDescent="0.25"/>
    <row r="536" s="34" customFormat="1" x14ac:dyDescent="0.25"/>
    <row r="537" s="34" customFormat="1" x14ac:dyDescent="0.25"/>
    <row r="538" s="34" customFormat="1" x14ac:dyDescent="0.25"/>
    <row r="539" s="34" customFormat="1" x14ac:dyDescent="0.25"/>
    <row r="540" s="34" customFormat="1" x14ac:dyDescent="0.25"/>
    <row r="541" s="34" customFormat="1" x14ac:dyDescent="0.25"/>
    <row r="542" s="34" customFormat="1" x14ac:dyDescent="0.25"/>
    <row r="543" s="34" customFormat="1" x14ac:dyDescent="0.25"/>
    <row r="544" s="34" customFormat="1" x14ac:dyDescent="0.25"/>
    <row r="545" s="34" customFormat="1" x14ac:dyDescent="0.25"/>
    <row r="546" s="34" customFormat="1" x14ac:dyDescent="0.25"/>
    <row r="547" s="34" customFormat="1" x14ac:dyDescent="0.25"/>
    <row r="548" s="34" customFormat="1" x14ac:dyDescent="0.25"/>
    <row r="549" s="34" customFormat="1" x14ac:dyDescent="0.25"/>
    <row r="550" s="34" customFormat="1" x14ac:dyDescent="0.25"/>
    <row r="551" s="34" customFormat="1" x14ac:dyDescent="0.25"/>
    <row r="552" s="34" customFormat="1" x14ac:dyDescent="0.25"/>
    <row r="553" s="34" customFormat="1" x14ac:dyDescent="0.25"/>
    <row r="554" s="34" customFormat="1" x14ac:dyDescent="0.25"/>
    <row r="555" s="34" customFormat="1" x14ac:dyDescent="0.25"/>
    <row r="556" s="34" customFormat="1" x14ac:dyDescent="0.25"/>
    <row r="557" s="34" customFormat="1" x14ac:dyDescent="0.25"/>
    <row r="558" s="34" customFormat="1" x14ac:dyDescent="0.25"/>
    <row r="559" s="34" customFormat="1" x14ac:dyDescent="0.25"/>
    <row r="560" s="34" customFormat="1" x14ac:dyDescent="0.25"/>
    <row r="561" s="34" customFormat="1" x14ac:dyDescent="0.25"/>
    <row r="562" s="34" customFormat="1" x14ac:dyDescent="0.25"/>
    <row r="563" s="34" customFormat="1" x14ac:dyDescent="0.25"/>
    <row r="564" s="34" customFormat="1" x14ac:dyDescent="0.25"/>
    <row r="565" s="34" customFormat="1" x14ac:dyDescent="0.25"/>
    <row r="566" s="34" customFormat="1" x14ac:dyDescent="0.25"/>
    <row r="567" s="34" customFormat="1" x14ac:dyDescent="0.25"/>
    <row r="568" s="34" customFormat="1" x14ac:dyDescent="0.25"/>
    <row r="569" s="34" customFormat="1" x14ac:dyDescent="0.25"/>
    <row r="570" s="34" customFormat="1" x14ac:dyDescent="0.25"/>
    <row r="571" s="34" customFormat="1" x14ac:dyDescent="0.25"/>
    <row r="572" s="34" customFormat="1" x14ac:dyDescent="0.25"/>
    <row r="573" s="34" customFormat="1" x14ac:dyDescent="0.25"/>
    <row r="574" s="34" customFormat="1" x14ac:dyDescent="0.25"/>
    <row r="575" s="34" customFormat="1" x14ac:dyDescent="0.25"/>
    <row r="576" s="34" customFormat="1" x14ac:dyDescent="0.25"/>
    <row r="577" s="34" customFormat="1" x14ac:dyDescent="0.25"/>
    <row r="578" s="34" customFormat="1" x14ac:dyDescent="0.25"/>
    <row r="579" s="34" customFormat="1" x14ac:dyDescent="0.25"/>
    <row r="580" s="34" customFormat="1" x14ac:dyDescent="0.25"/>
    <row r="581" s="34" customFormat="1" x14ac:dyDescent="0.25"/>
    <row r="582" s="34" customFormat="1" x14ac:dyDescent="0.25"/>
    <row r="583" s="34" customFormat="1" x14ac:dyDescent="0.25"/>
    <row r="584" s="34" customFormat="1" x14ac:dyDescent="0.25"/>
    <row r="585" s="34" customFormat="1" x14ac:dyDescent="0.25"/>
    <row r="586" s="34" customFormat="1" x14ac:dyDescent="0.25"/>
    <row r="587" s="34" customFormat="1" x14ac:dyDescent="0.25"/>
    <row r="588" s="34" customFormat="1" x14ac:dyDescent="0.25"/>
    <row r="589" s="34" customFormat="1" x14ac:dyDescent="0.25"/>
    <row r="590" s="34" customFormat="1" x14ac:dyDescent="0.25"/>
    <row r="591" s="34" customFormat="1" x14ac:dyDescent="0.25"/>
    <row r="592" s="34" customFormat="1" x14ac:dyDescent="0.25"/>
    <row r="593" s="34" customFormat="1" x14ac:dyDescent="0.25"/>
    <row r="594" s="34" customFormat="1" x14ac:dyDescent="0.25"/>
    <row r="595" s="34" customFormat="1" x14ac:dyDescent="0.25"/>
    <row r="596" s="34" customFormat="1" x14ac:dyDescent="0.25"/>
    <row r="597" s="34" customFormat="1" x14ac:dyDescent="0.25"/>
    <row r="598" s="34" customFormat="1" x14ac:dyDescent="0.25"/>
    <row r="599" s="34" customFormat="1" x14ac:dyDescent="0.25"/>
    <row r="600" s="34" customFormat="1" x14ac:dyDescent="0.25"/>
    <row r="601" s="34" customFormat="1" x14ac:dyDescent="0.25"/>
    <row r="602" s="34" customFormat="1" x14ac:dyDescent="0.25"/>
    <row r="603" s="34" customFormat="1" x14ac:dyDescent="0.25"/>
    <row r="604" s="34" customFormat="1" x14ac:dyDescent="0.25"/>
    <row r="605" s="34" customFormat="1" x14ac:dyDescent="0.25"/>
    <row r="606" s="34" customFormat="1" x14ac:dyDescent="0.25"/>
    <row r="607" s="34" customFormat="1" x14ac:dyDescent="0.25"/>
    <row r="608" s="34" customFormat="1" x14ac:dyDescent="0.25"/>
    <row r="609" s="34" customFormat="1" x14ac:dyDescent="0.25"/>
    <row r="610" s="34" customFormat="1" x14ac:dyDescent="0.25"/>
    <row r="611" s="34" customFormat="1" x14ac:dyDescent="0.25"/>
    <row r="612" s="34" customFormat="1" x14ac:dyDescent="0.25"/>
    <row r="613" s="34" customFormat="1" x14ac:dyDescent="0.25"/>
    <row r="614" s="34" customFormat="1" x14ac:dyDescent="0.25"/>
    <row r="615" s="34" customFormat="1" x14ac:dyDescent="0.25"/>
    <row r="616" s="34" customFormat="1" x14ac:dyDescent="0.25"/>
    <row r="617" s="34" customFormat="1" x14ac:dyDescent="0.25"/>
    <row r="618" s="34" customFormat="1" x14ac:dyDescent="0.25"/>
    <row r="619" s="34" customFormat="1" x14ac:dyDescent="0.25"/>
    <row r="620" s="34" customFormat="1" x14ac:dyDescent="0.25"/>
    <row r="621" s="34" customFormat="1" x14ac:dyDescent="0.25"/>
    <row r="622" s="34" customFormat="1" x14ac:dyDescent="0.25"/>
    <row r="623" s="34" customFormat="1" x14ac:dyDescent="0.25"/>
    <row r="624" s="34" customFormat="1" x14ac:dyDescent="0.25"/>
    <row r="625" s="34" customFormat="1" x14ac:dyDescent="0.25"/>
    <row r="626" s="34" customFormat="1" x14ac:dyDescent="0.25"/>
    <row r="627" s="34" customFormat="1" x14ac:dyDescent="0.25"/>
    <row r="628" s="34" customFormat="1" x14ac:dyDescent="0.25"/>
    <row r="629" s="34" customFormat="1" x14ac:dyDescent="0.25"/>
    <row r="630" s="34" customFormat="1" x14ac:dyDescent="0.25"/>
    <row r="631" s="34" customFormat="1" x14ac:dyDescent="0.25"/>
    <row r="632" s="34" customFormat="1" x14ac:dyDescent="0.25"/>
    <row r="633" s="34" customFormat="1" x14ac:dyDescent="0.25"/>
    <row r="634" s="34" customFormat="1" x14ac:dyDescent="0.25"/>
    <row r="635" s="34" customFormat="1" x14ac:dyDescent="0.25"/>
    <row r="636" s="34" customFormat="1" x14ac:dyDescent="0.25"/>
    <row r="637" s="34" customFormat="1" x14ac:dyDescent="0.25"/>
    <row r="638" s="34" customFormat="1" x14ac:dyDescent="0.25"/>
    <row r="639" s="34" customFormat="1" x14ac:dyDescent="0.25"/>
    <row r="640" s="34" customFormat="1" x14ac:dyDescent="0.25"/>
    <row r="641" s="34" customFormat="1" x14ac:dyDescent="0.25"/>
    <row r="642" s="34" customFormat="1" x14ac:dyDescent="0.25"/>
    <row r="643" s="34" customFormat="1" x14ac:dyDescent="0.25"/>
    <row r="644" s="34" customFormat="1" x14ac:dyDescent="0.25"/>
    <row r="645" s="34" customFormat="1" x14ac:dyDescent="0.25"/>
    <row r="646" s="34" customFormat="1" x14ac:dyDescent="0.25"/>
    <row r="647" s="34" customFormat="1" x14ac:dyDescent="0.25"/>
    <row r="648" s="34" customFormat="1" x14ac:dyDescent="0.25"/>
    <row r="649" s="34" customFormat="1" x14ac:dyDescent="0.25"/>
    <row r="650" s="34" customFormat="1" x14ac:dyDescent="0.25"/>
    <row r="651" s="34" customFormat="1" x14ac:dyDescent="0.25"/>
    <row r="652" s="34" customFormat="1" x14ac:dyDescent="0.25"/>
    <row r="653" s="34" customFormat="1" x14ac:dyDescent="0.25"/>
    <row r="654" s="34" customFormat="1" x14ac:dyDescent="0.25"/>
    <row r="655" s="34" customFormat="1" x14ac:dyDescent="0.25"/>
    <row r="656" s="34" customFormat="1" x14ac:dyDescent="0.25"/>
    <row r="657" s="34" customFormat="1" x14ac:dyDescent="0.25"/>
    <row r="658" s="34" customFormat="1" x14ac:dyDescent="0.25"/>
    <row r="659" s="34" customFormat="1" x14ac:dyDescent="0.25"/>
    <row r="660" s="34" customFormat="1" x14ac:dyDescent="0.25"/>
    <row r="661" s="34" customFormat="1" x14ac:dyDescent="0.25"/>
    <row r="662" s="34" customFormat="1" x14ac:dyDescent="0.25"/>
    <row r="663" s="34" customFormat="1" x14ac:dyDescent="0.25"/>
    <row r="664" s="34" customFormat="1" x14ac:dyDescent="0.25"/>
    <row r="665" s="34" customFormat="1" x14ac:dyDescent="0.25"/>
    <row r="666" s="34" customFormat="1" x14ac:dyDescent="0.25"/>
    <row r="667" s="34" customFormat="1" x14ac:dyDescent="0.25"/>
    <row r="668" s="34" customFormat="1" x14ac:dyDescent="0.25"/>
    <row r="669" s="34" customFormat="1" x14ac:dyDescent="0.25"/>
    <row r="670" s="34" customFormat="1" x14ac:dyDescent="0.25"/>
    <row r="671" s="34" customFormat="1" x14ac:dyDescent="0.25"/>
    <row r="672" s="34" customFormat="1" x14ac:dyDescent="0.25"/>
    <row r="673" s="34" customFormat="1" x14ac:dyDescent="0.25"/>
    <row r="674" s="34" customFormat="1" x14ac:dyDescent="0.25"/>
    <row r="675" s="34" customFormat="1" x14ac:dyDescent="0.25"/>
    <row r="676" s="34" customFormat="1" x14ac:dyDescent="0.25"/>
    <row r="677" s="34" customFormat="1" x14ac:dyDescent="0.25"/>
    <row r="678" s="34" customFormat="1" x14ac:dyDescent="0.25"/>
    <row r="679" s="34" customFormat="1" x14ac:dyDescent="0.25"/>
    <row r="680" s="34" customFormat="1" x14ac:dyDescent="0.25"/>
    <row r="681" s="34" customFormat="1" x14ac:dyDescent="0.25"/>
    <row r="682" s="34" customFormat="1" x14ac:dyDescent="0.25"/>
    <row r="683" s="34" customFormat="1" x14ac:dyDescent="0.25"/>
    <row r="684" s="34" customFormat="1" x14ac:dyDescent="0.25"/>
    <row r="685" s="34" customFormat="1" x14ac:dyDescent="0.25"/>
    <row r="686" s="34" customFormat="1" x14ac:dyDescent="0.25"/>
    <row r="687" s="34" customFormat="1" x14ac:dyDescent="0.25"/>
    <row r="688" s="34" customFormat="1" x14ac:dyDescent="0.25"/>
    <row r="689" s="34" customFormat="1" x14ac:dyDescent="0.25"/>
    <row r="690" s="34" customFormat="1" x14ac:dyDescent="0.25"/>
    <row r="691" s="34" customFormat="1" x14ac:dyDescent="0.25"/>
    <row r="692" s="34" customFormat="1" x14ac:dyDescent="0.25"/>
    <row r="693" s="34" customFormat="1" x14ac:dyDescent="0.25"/>
    <row r="694" s="34" customFormat="1" x14ac:dyDescent="0.25"/>
    <row r="695" s="34" customFormat="1" x14ac:dyDescent="0.25"/>
    <row r="696" s="34" customFormat="1" x14ac:dyDescent="0.25"/>
    <row r="697" s="34" customFormat="1" x14ac:dyDescent="0.25"/>
    <row r="698" s="34" customFormat="1" x14ac:dyDescent="0.25"/>
    <row r="699" s="34" customFormat="1" x14ac:dyDescent="0.25"/>
    <row r="700" s="34" customFormat="1" x14ac:dyDescent="0.25"/>
    <row r="701" s="34" customFormat="1" x14ac:dyDescent="0.25"/>
    <row r="702" s="34" customFormat="1" x14ac:dyDescent="0.25"/>
    <row r="703" s="34" customFormat="1" x14ac:dyDescent="0.25"/>
    <row r="704" s="34" customFormat="1" x14ac:dyDescent="0.25"/>
    <row r="705" s="34" customFormat="1" x14ac:dyDescent="0.25"/>
    <row r="706" s="34" customFormat="1" x14ac:dyDescent="0.25"/>
    <row r="707" s="34" customFormat="1" x14ac:dyDescent="0.25"/>
    <row r="708" s="34" customFormat="1" x14ac:dyDescent="0.25"/>
    <row r="709" s="34" customFormat="1" x14ac:dyDescent="0.25"/>
    <row r="710" s="34" customFormat="1" x14ac:dyDescent="0.25"/>
  </sheetData>
  <sheetProtection password="90CC" sheet="1" objects="1" scenarios="1"/>
  <mergeCells count="89">
    <mergeCell ref="BN29:BO29"/>
    <mergeCell ref="BN30:BO30"/>
    <mergeCell ref="BN31:BO31"/>
    <mergeCell ref="BN32:BO32"/>
    <mergeCell ref="BN33:BO33"/>
    <mergeCell ref="AW2:AZ2"/>
    <mergeCell ref="D13:E13"/>
    <mergeCell ref="D12:E12"/>
    <mergeCell ref="BJ10:BM10"/>
    <mergeCell ref="BJ5:BM5"/>
    <mergeCell ref="AW3:AZ3"/>
    <mergeCell ref="BF6:BI6"/>
    <mergeCell ref="AQ6:AU6"/>
    <mergeCell ref="AQ5:AU5"/>
    <mergeCell ref="AQ4:AU4"/>
    <mergeCell ref="AQ3:AU3"/>
    <mergeCell ref="BB13:BF13"/>
    <mergeCell ref="E5:V6"/>
    <mergeCell ref="M9:Q9"/>
    <mergeCell ref="F13:T13"/>
    <mergeCell ref="F12:T12"/>
    <mergeCell ref="AI4:AI7"/>
    <mergeCell ref="D15:BO15"/>
    <mergeCell ref="U12:V12"/>
    <mergeCell ref="U13:V13"/>
    <mergeCell ref="BJ12:BM12"/>
    <mergeCell ref="AJ4:AK4"/>
    <mergeCell ref="AJ7:AK7"/>
    <mergeCell ref="AJ6:AK6"/>
    <mergeCell ref="AJ5:AK5"/>
    <mergeCell ref="X9:AL13"/>
    <mergeCell ref="AQ9:AU10"/>
    <mergeCell ref="AQ11:AU12"/>
    <mergeCell ref="BJ6:BM6"/>
    <mergeCell ref="AW4:AZ4"/>
    <mergeCell ref="AW5:AZ5"/>
    <mergeCell ref="AW10:AZ10"/>
    <mergeCell ref="AV58:BN58"/>
    <mergeCell ref="AS59:AT59"/>
    <mergeCell ref="AV59:BN59"/>
    <mergeCell ref="AV50:BN50"/>
    <mergeCell ref="AS51:AT51"/>
    <mergeCell ref="AV51:BN51"/>
    <mergeCell ref="AV54:BN54"/>
    <mergeCell ref="AS55:AT55"/>
    <mergeCell ref="AV55:BN55"/>
    <mergeCell ref="M59:N59"/>
    <mergeCell ref="P59:AH59"/>
    <mergeCell ref="P54:AH54"/>
    <mergeCell ref="M55:N55"/>
    <mergeCell ref="P55:AH55"/>
    <mergeCell ref="M51:N51"/>
    <mergeCell ref="P51:AH51"/>
    <mergeCell ref="P58:AH58"/>
    <mergeCell ref="M43:N43"/>
    <mergeCell ref="P46:AH46"/>
    <mergeCell ref="M47:N47"/>
    <mergeCell ref="P47:AH47"/>
    <mergeCell ref="P50:AH50"/>
    <mergeCell ref="AW12:AZ12"/>
    <mergeCell ref="AV42:BN42"/>
    <mergeCell ref="D18:BO18"/>
    <mergeCell ref="BN22:BO22"/>
    <mergeCell ref="BN23:BO23"/>
    <mergeCell ref="BN24:BO24"/>
    <mergeCell ref="BN25:BO25"/>
    <mergeCell ref="BN26:BO26"/>
    <mergeCell ref="BN37:BO37"/>
    <mergeCell ref="BN38:BO38"/>
    <mergeCell ref="BN27:BO27"/>
    <mergeCell ref="BN28:BO28"/>
    <mergeCell ref="D16:N16"/>
    <mergeCell ref="BN34:BO34"/>
    <mergeCell ref="BN35:BO35"/>
    <mergeCell ref="BN36:BO36"/>
    <mergeCell ref="AS43:AT43"/>
    <mergeCell ref="AV43:BN43"/>
    <mergeCell ref="AV46:BN46"/>
    <mergeCell ref="AS47:AT47"/>
    <mergeCell ref="AV47:BN47"/>
    <mergeCell ref="AI8:AK8"/>
    <mergeCell ref="AE8:AG8"/>
    <mergeCell ref="X8:AD8"/>
    <mergeCell ref="P42:AH42"/>
    <mergeCell ref="P43:AH43"/>
    <mergeCell ref="U16:V16"/>
    <mergeCell ref="S16:T16"/>
    <mergeCell ref="Q16:R16"/>
    <mergeCell ref="O16:P16"/>
  </mergeCells>
  <hyperlinks>
    <hyperlink ref="D13:E13" location="'S1'!A1" display="'S1'!A1"/>
    <hyperlink ref="D12:E12" location="'S2'!A1" display="'S2'!A1"/>
    <hyperlink ref="F13:T13" location="'S1'!A1" display="'S1'!A1"/>
    <hyperlink ref="F12:T12" location="'S2'!A1" display="'S2'!A1"/>
    <hyperlink ref="U13:V13" location="'S1'!A1" display="→"/>
    <hyperlink ref="U12:V12" location="'S2'!A1" display="Ü"/>
  </hyperlinks>
  <pageMargins left="0.7" right="0.7" top="0.78740157499999996" bottom="0.78740157499999996" header="0.3" footer="0.3"/>
  <pageSetup paperSize="9" scale="62" orientation="landscape" r:id="rId1"/>
  <drawing r:id="rId2"/>
  <legacyDrawing r:id="rId3"/>
  <controls>
    <mc:AlternateContent xmlns:mc="http://schemas.openxmlformats.org/markup-compatibility/2006">
      <mc:Choice Requires="x14">
        <control shapeId="4140" r:id="rId4" name="OptionButton17">
          <controlPr locked="0" autoLine="0" linkedCell="Limits!K72" r:id="rId5">
            <anchor moveWithCells="1">
              <from>
                <xdr:col>58</xdr:col>
                <xdr:colOff>85725</xdr:colOff>
                <xdr:row>11</xdr:row>
                <xdr:rowOff>66675</xdr:rowOff>
              </from>
              <to>
                <xdr:col>59</xdr:col>
                <xdr:colOff>76200</xdr:colOff>
                <xdr:row>11</xdr:row>
                <xdr:rowOff>219075</xdr:rowOff>
              </to>
            </anchor>
          </controlPr>
        </control>
      </mc:Choice>
      <mc:Fallback>
        <control shapeId="4140" r:id="rId4" name="OptionButton17"/>
      </mc:Fallback>
    </mc:AlternateContent>
    <mc:AlternateContent xmlns:mc="http://schemas.openxmlformats.org/markup-compatibility/2006">
      <mc:Choice Requires="x14">
        <control shapeId="4139" r:id="rId6" name="OptionButton16">
          <controlPr locked="0" autoLine="0" linkedCell="Limits!K71" r:id="rId7">
            <anchor moveWithCells="1">
              <from>
                <xdr:col>58</xdr:col>
                <xdr:colOff>85725</xdr:colOff>
                <xdr:row>9</xdr:row>
                <xdr:rowOff>57150</xdr:rowOff>
              </from>
              <to>
                <xdr:col>59</xdr:col>
                <xdr:colOff>57150</xdr:colOff>
                <xdr:row>9</xdr:row>
                <xdr:rowOff>219075</xdr:rowOff>
              </to>
            </anchor>
          </controlPr>
        </control>
      </mc:Choice>
      <mc:Fallback>
        <control shapeId="4139" r:id="rId6" name="OptionButton16"/>
      </mc:Fallback>
    </mc:AlternateContent>
    <mc:AlternateContent xmlns:mc="http://schemas.openxmlformats.org/markup-compatibility/2006">
      <mc:Choice Requires="x14">
        <control shapeId="4118" r:id="rId8" name="OptionButton2">
          <controlPr defaultSize="0" autoLine="0" linkedCell="Limits!P3" r:id="rId9">
            <anchor moveWithCells="1">
              <from>
                <xdr:col>12</xdr:col>
                <xdr:colOff>85725</xdr:colOff>
                <xdr:row>41</xdr:row>
                <xdr:rowOff>66675</xdr:rowOff>
              </from>
              <to>
                <xdr:col>13</xdr:col>
                <xdr:colOff>114300</xdr:colOff>
                <xdr:row>42</xdr:row>
                <xdr:rowOff>47625</xdr:rowOff>
              </to>
            </anchor>
          </controlPr>
        </control>
      </mc:Choice>
      <mc:Fallback>
        <control shapeId="4118" r:id="rId8" name="OptionButton2"/>
      </mc:Fallback>
    </mc:AlternateContent>
    <mc:AlternateContent xmlns:mc="http://schemas.openxmlformats.org/markup-compatibility/2006">
      <mc:Choice Requires="x14">
        <control shapeId="4120" r:id="rId10" name="OptionButton3">
          <controlPr defaultSize="0" autoLine="0" linkedCell="Limits!P4" r:id="rId11">
            <anchor moveWithCells="1">
              <from>
                <xdr:col>12</xdr:col>
                <xdr:colOff>85725</xdr:colOff>
                <xdr:row>45</xdr:row>
                <xdr:rowOff>66675</xdr:rowOff>
              </from>
              <to>
                <xdr:col>13</xdr:col>
                <xdr:colOff>114300</xdr:colOff>
                <xdr:row>46</xdr:row>
                <xdr:rowOff>47625</xdr:rowOff>
              </to>
            </anchor>
          </controlPr>
        </control>
      </mc:Choice>
      <mc:Fallback>
        <control shapeId="4120" r:id="rId10" name="OptionButton3"/>
      </mc:Fallback>
    </mc:AlternateContent>
    <mc:AlternateContent xmlns:mc="http://schemas.openxmlformats.org/markup-compatibility/2006">
      <mc:Choice Requires="x14">
        <control shapeId="4121" r:id="rId12" name="OptionButton1">
          <controlPr defaultSize="0" autoLine="0" linkedCell="Limits!P5" r:id="rId11">
            <anchor moveWithCells="1">
              <from>
                <xdr:col>12</xdr:col>
                <xdr:colOff>85725</xdr:colOff>
                <xdr:row>49</xdr:row>
                <xdr:rowOff>66675</xdr:rowOff>
              </from>
              <to>
                <xdr:col>13</xdr:col>
                <xdr:colOff>114300</xdr:colOff>
                <xdr:row>50</xdr:row>
                <xdr:rowOff>47625</xdr:rowOff>
              </to>
            </anchor>
          </controlPr>
        </control>
      </mc:Choice>
      <mc:Fallback>
        <control shapeId="4121" r:id="rId12" name="OptionButton1"/>
      </mc:Fallback>
    </mc:AlternateContent>
    <mc:AlternateContent xmlns:mc="http://schemas.openxmlformats.org/markup-compatibility/2006">
      <mc:Choice Requires="x14">
        <control shapeId="4122" r:id="rId13" name="OptionButton4">
          <controlPr defaultSize="0" autoLine="0" linkedCell="Limits!P6" r:id="rId11">
            <anchor moveWithCells="1">
              <from>
                <xdr:col>12</xdr:col>
                <xdr:colOff>85725</xdr:colOff>
                <xdr:row>53</xdr:row>
                <xdr:rowOff>85725</xdr:rowOff>
              </from>
              <to>
                <xdr:col>13</xdr:col>
                <xdr:colOff>114300</xdr:colOff>
                <xdr:row>54</xdr:row>
                <xdr:rowOff>66675</xdr:rowOff>
              </to>
            </anchor>
          </controlPr>
        </control>
      </mc:Choice>
      <mc:Fallback>
        <control shapeId="4122" r:id="rId13" name="OptionButton4"/>
      </mc:Fallback>
    </mc:AlternateContent>
    <mc:AlternateContent xmlns:mc="http://schemas.openxmlformats.org/markup-compatibility/2006">
      <mc:Choice Requires="x14">
        <control shapeId="4123" r:id="rId14" name="OptionButton5">
          <controlPr defaultSize="0" autoLine="0" linkedCell="Limits!P7" r:id="rId11">
            <anchor moveWithCells="1">
              <from>
                <xdr:col>12</xdr:col>
                <xdr:colOff>85725</xdr:colOff>
                <xdr:row>57</xdr:row>
                <xdr:rowOff>76200</xdr:rowOff>
              </from>
              <to>
                <xdr:col>13</xdr:col>
                <xdr:colOff>114300</xdr:colOff>
                <xdr:row>58</xdr:row>
                <xdr:rowOff>57150</xdr:rowOff>
              </to>
            </anchor>
          </controlPr>
        </control>
      </mc:Choice>
      <mc:Fallback>
        <control shapeId="4123" r:id="rId14" name="OptionButton5"/>
      </mc:Fallback>
    </mc:AlternateContent>
    <mc:AlternateContent xmlns:mc="http://schemas.openxmlformats.org/markup-compatibility/2006">
      <mc:Choice Requires="x14">
        <control shapeId="4124" r:id="rId15" name="OptionButton6">
          <controlPr defaultSize="0" autoLine="0" linkedCell="Limits!P8" r:id="rId11">
            <anchor moveWithCells="1">
              <from>
                <xdr:col>44</xdr:col>
                <xdr:colOff>76200</xdr:colOff>
                <xdr:row>41</xdr:row>
                <xdr:rowOff>66675</xdr:rowOff>
              </from>
              <to>
                <xdr:col>45</xdr:col>
                <xdr:colOff>104775</xdr:colOff>
                <xdr:row>42</xdr:row>
                <xdr:rowOff>47625</xdr:rowOff>
              </to>
            </anchor>
          </controlPr>
        </control>
      </mc:Choice>
      <mc:Fallback>
        <control shapeId="4124" r:id="rId15" name="OptionButton6"/>
      </mc:Fallback>
    </mc:AlternateContent>
    <mc:AlternateContent xmlns:mc="http://schemas.openxmlformats.org/markup-compatibility/2006">
      <mc:Choice Requires="x14">
        <control shapeId="4125" r:id="rId16" name="OptionButton7">
          <controlPr defaultSize="0" autoLine="0" linkedCell="Limits!P9" r:id="rId11">
            <anchor moveWithCells="1">
              <from>
                <xdr:col>44</xdr:col>
                <xdr:colOff>76200</xdr:colOff>
                <xdr:row>45</xdr:row>
                <xdr:rowOff>66675</xdr:rowOff>
              </from>
              <to>
                <xdr:col>45</xdr:col>
                <xdr:colOff>104775</xdr:colOff>
                <xdr:row>46</xdr:row>
                <xdr:rowOff>47625</xdr:rowOff>
              </to>
            </anchor>
          </controlPr>
        </control>
      </mc:Choice>
      <mc:Fallback>
        <control shapeId="4125" r:id="rId16" name="OptionButton7"/>
      </mc:Fallback>
    </mc:AlternateContent>
    <mc:AlternateContent xmlns:mc="http://schemas.openxmlformats.org/markup-compatibility/2006">
      <mc:Choice Requires="x14">
        <control shapeId="4126" r:id="rId17" name="OptionButton8">
          <controlPr defaultSize="0" autoLine="0" linkedCell="Limits!P10" r:id="rId11">
            <anchor moveWithCells="1">
              <from>
                <xdr:col>44</xdr:col>
                <xdr:colOff>76200</xdr:colOff>
                <xdr:row>49</xdr:row>
                <xdr:rowOff>66675</xdr:rowOff>
              </from>
              <to>
                <xdr:col>45</xdr:col>
                <xdr:colOff>104775</xdr:colOff>
                <xdr:row>50</xdr:row>
                <xdr:rowOff>47625</xdr:rowOff>
              </to>
            </anchor>
          </controlPr>
        </control>
      </mc:Choice>
      <mc:Fallback>
        <control shapeId="4126" r:id="rId17" name="OptionButton8"/>
      </mc:Fallback>
    </mc:AlternateContent>
    <mc:AlternateContent xmlns:mc="http://schemas.openxmlformats.org/markup-compatibility/2006">
      <mc:Choice Requires="x14">
        <control shapeId="4127" r:id="rId18" name="OptionButton9">
          <controlPr defaultSize="0" autoLine="0" linkedCell="Limits!P11" r:id="rId11">
            <anchor moveWithCells="1">
              <from>
                <xdr:col>44</xdr:col>
                <xdr:colOff>76200</xdr:colOff>
                <xdr:row>53</xdr:row>
                <xdr:rowOff>85725</xdr:rowOff>
              </from>
              <to>
                <xdr:col>45</xdr:col>
                <xdr:colOff>104775</xdr:colOff>
                <xdr:row>54</xdr:row>
                <xdr:rowOff>66675</xdr:rowOff>
              </to>
            </anchor>
          </controlPr>
        </control>
      </mc:Choice>
      <mc:Fallback>
        <control shapeId="4127" r:id="rId18" name="OptionButton9"/>
      </mc:Fallback>
    </mc:AlternateContent>
    <mc:AlternateContent xmlns:mc="http://schemas.openxmlformats.org/markup-compatibility/2006">
      <mc:Choice Requires="x14">
        <control shapeId="4128" r:id="rId19" name="OptionButton10">
          <controlPr defaultSize="0" autoLine="0" linkedCell="Limits!P12" r:id="rId11">
            <anchor moveWithCells="1">
              <from>
                <xdr:col>44</xdr:col>
                <xdr:colOff>76200</xdr:colOff>
                <xdr:row>57</xdr:row>
                <xdr:rowOff>76200</xdr:rowOff>
              </from>
              <to>
                <xdr:col>45</xdr:col>
                <xdr:colOff>104775</xdr:colOff>
                <xdr:row>58</xdr:row>
                <xdr:rowOff>57150</xdr:rowOff>
              </to>
            </anchor>
          </controlPr>
        </control>
      </mc:Choice>
      <mc:Fallback>
        <control shapeId="4128" r:id="rId19" name="OptionButton10"/>
      </mc:Fallback>
    </mc:AlternateContent>
    <mc:AlternateContent xmlns:mc="http://schemas.openxmlformats.org/markup-compatibility/2006">
      <mc:Choice Requires="x14">
        <control shapeId="4129" r:id="rId20" name="OptionButton11">
          <controlPr locked="0" defaultSize="0" autoLine="0" linkedCell="Limits!Q21" r:id="rId7">
            <anchor moveWithCells="1">
              <from>
                <xdr:col>36</xdr:col>
                <xdr:colOff>123825</xdr:colOff>
                <xdr:row>2</xdr:row>
                <xdr:rowOff>47625</xdr:rowOff>
              </from>
              <to>
                <xdr:col>37</xdr:col>
                <xdr:colOff>123825</xdr:colOff>
                <xdr:row>2</xdr:row>
                <xdr:rowOff>209550</xdr:rowOff>
              </to>
            </anchor>
          </controlPr>
        </control>
      </mc:Choice>
      <mc:Fallback>
        <control shapeId="4129" r:id="rId20" name="OptionButton11"/>
      </mc:Fallback>
    </mc:AlternateContent>
    <mc:AlternateContent xmlns:mc="http://schemas.openxmlformats.org/markup-compatibility/2006">
      <mc:Choice Requires="x14">
        <control shapeId="4130" r:id="rId21" name="OptionButton12">
          <controlPr locked="0" defaultSize="0" autoLine="0" linkedCell="Limits!Q22" r:id="rId22">
            <anchor moveWithCells="1">
              <from>
                <xdr:col>36</xdr:col>
                <xdr:colOff>123825</xdr:colOff>
                <xdr:row>3</xdr:row>
                <xdr:rowOff>38100</xdr:rowOff>
              </from>
              <to>
                <xdr:col>38</xdr:col>
                <xdr:colOff>0</xdr:colOff>
                <xdr:row>3</xdr:row>
                <xdr:rowOff>228600</xdr:rowOff>
              </to>
            </anchor>
          </controlPr>
        </control>
      </mc:Choice>
      <mc:Fallback>
        <control shapeId="4130" r:id="rId21" name="OptionButton12"/>
      </mc:Fallback>
    </mc:AlternateContent>
    <mc:AlternateContent xmlns:mc="http://schemas.openxmlformats.org/markup-compatibility/2006">
      <mc:Choice Requires="x14">
        <control shapeId="4131" r:id="rId23" name="OptionButton13">
          <controlPr locked="0" defaultSize="0" autoLine="0" linkedCell="Limits!Q23" r:id="rId22">
            <anchor moveWithCells="1">
              <from>
                <xdr:col>36</xdr:col>
                <xdr:colOff>123825</xdr:colOff>
                <xdr:row>4</xdr:row>
                <xdr:rowOff>28575</xdr:rowOff>
              </from>
              <to>
                <xdr:col>38</xdr:col>
                <xdr:colOff>0</xdr:colOff>
                <xdr:row>4</xdr:row>
                <xdr:rowOff>219075</xdr:rowOff>
              </to>
            </anchor>
          </controlPr>
        </control>
      </mc:Choice>
      <mc:Fallback>
        <control shapeId="4131" r:id="rId23" name="OptionButton13"/>
      </mc:Fallback>
    </mc:AlternateContent>
    <mc:AlternateContent xmlns:mc="http://schemas.openxmlformats.org/markup-compatibility/2006">
      <mc:Choice Requires="x14">
        <control shapeId="4132" r:id="rId24" name="OptionButton14">
          <controlPr locked="0" defaultSize="0" autoLine="0" linkedCell="Limits!Q24" r:id="rId22">
            <anchor moveWithCells="1">
              <from>
                <xdr:col>36</xdr:col>
                <xdr:colOff>123825</xdr:colOff>
                <xdr:row>5</xdr:row>
                <xdr:rowOff>38100</xdr:rowOff>
              </from>
              <to>
                <xdr:col>38</xdr:col>
                <xdr:colOff>0</xdr:colOff>
                <xdr:row>5</xdr:row>
                <xdr:rowOff>228600</xdr:rowOff>
              </to>
            </anchor>
          </controlPr>
        </control>
      </mc:Choice>
      <mc:Fallback>
        <control shapeId="4132" r:id="rId24" name="OptionButton14"/>
      </mc:Fallback>
    </mc:AlternateContent>
    <mc:AlternateContent xmlns:mc="http://schemas.openxmlformats.org/markup-compatibility/2006">
      <mc:Choice Requires="x14">
        <control shapeId="4133" r:id="rId25" name="OptionButton15">
          <controlPr locked="0" defaultSize="0" autoLine="0" linkedCell="Limits!Q25" r:id="rId22">
            <anchor moveWithCells="1">
              <from>
                <xdr:col>36</xdr:col>
                <xdr:colOff>123825</xdr:colOff>
                <xdr:row>6</xdr:row>
                <xdr:rowOff>38100</xdr:rowOff>
              </from>
              <to>
                <xdr:col>38</xdr:col>
                <xdr:colOff>0</xdr:colOff>
                <xdr:row>6</xdr:row>
                <xdr:rowOff>228600</xdr:rowOff>
              </to>
            </anchor>
          </controlPr>
        </control>
      </mc:Choice>
      <mc:Fallback>
        <control shapeId="4133" r:id="rId25" name="OptionButton15"/>
      </mc:Fallback>
    </mc:AlternateContent>
    <mc:AlternateContent xmlns:mc="http://schemas.openxmlformats.org/markup-compatibility/2006">
      <mc:Choice Requires="x14">
        <control shapeId="4141" r:id="rId26" name="OptionButton18">
          <controlPr locked="0" autoLine="0" linkedCell="Limits!Q29" r:id="rId27">
            <anchor moveWithCells="1">
              <from>
                <xdr:col>33</xdr:col>
                <xdr:colOff>0</xdr:colOff>
                <xdr:row>7</xdr:row>
                <xdr:rowOff>57150</xdr:rowOff>
              </from>
              <to>
                <xdr:col>33</xdr:col>
                <xdr:colOff>152400</xdr:colOff>
                <xdr:row>7</xdr:row>
                <xdr:rowOff>228600</xdr:rowOff>
              </to>
            </anchor>
          </controlPr>
        </control>
      </mc:Choice>
      <mc:Fallback>
        <control shapeId="4141" r:id="rId26" name="OptionButton18"/>
      </mc:Fallback>
    </mc:AlternateContent>
    <mc:AlternateContent xmlns:mc="http://schemas.openxmlformats.org/markup-compatibility/2006">
      <mc:Choice Requires="x14">
        <control shapeId="4142" r:id="rId28" name="OptionButton19">
          <controlPr locked="0" autoLine="0" linkedCell="Limits!Q30" r:id="rId29">
            <anchor moveWithCells="1">
              <from>
                <xdr:col>36</xdr:col>
                <xdr:colOff>123825</xdr:colOff>
                <xdr:row>7</xdr:row>
                <xdr:rowOff>47625</xdr:rowOff>
              </from>
              <to>
                <xdr:col>37</xdr:col>
                <xdr:colOff>123825</xdr:colOff>
                <xdr:row>7</xdr:row>
                <xdr:rowOff>228600</xdr:rowOff>
              </to>
            </anchor>
          </controlPr>
        </control>
      </mc:Choice>
      <mc:Fallback>
        <control shapeId="4142" r:id="rId28" name="OptionButton19"/>
      </mc:Fallback>
    </mc:AlternateContent>
    <mc:AlternateContent xmlns:mc="http://schemas.openxmlformats.org/markup-compatibility/2006">
      <mc:Choice Requires="x14">
        <control shapeId="4098" r:id="rId30" name="Spinner 2">
          <controlPr locked="0" defaultSize="0" autoPict="0">
            <anchor moveWithCells="1" sizeWithCells="1">
              <from>
                <xdr:col>52</xdr:col>
                <xdr:colOff>38100</xdr:colOff>
                <xdr:row>2</xdr:row>
                <xdr:rowOff>0</xdr:rowOff>
              </from>
              <to>
                <xdr:col>53</xdr:col>
                <xdr:colOff>47625</xdr:colOff>
                <xdr:row>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099" r:id="rId31" name="Spinner 3">
          <controlPr locked="0" defaultSize="0" autoPict="0">
            <anchor moveWithCells="1" sizeWithCells="1">
              <from>
                <xdr:col>52</xdr:col>
                <xdr:colOff>38100</xdr:colOff>
                <xdr:row>3</xdr:row>
                <xdr:rowOff>0</xdr:rowOff>
              </from>
              <to>
                <xdr:col>53</xdr:col>
                <xdr:colOff>47625</xdr:colOff>
                <xdr:row>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0" r:id="rId32" name="Spinner 4">
          <controlPr locked="0" defaultSize="0" autoPict="0">
            <anchor moveWithCells="1" sizeWithCells="1">
              <from>
                <xdr:col>52</xdr:col>
                <xdr:colOff>38100</xdr:colOff>
                <xdr:row>4</xdr:row>
                <xdr:rowOff>9525</xdr:rowOff>
              </from>
              <to>
                <xdr:col>53</xdr:col>
                <xdr:colOff>47625</xdr:colOff>
                <xdr:row>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1" r:id="rId33" name="Drop Down 5">
          <controlPr locked="0" defaultSize="0" autoLine="0" autoPict="0">
            <anchor moveWithCells="1">
              <from>
                <xdr:col>17</xdr:col>
                <xdr:colOff>0</xdr:colOff>
                <xdr:row>8</xdr:row>
                <xdr:rowOff>19050</xdr:rowOff>
              </from>
              <to>
                <xdr:col>21</xdr:col>
                <xdr:colOff>123825</xdr:colOff>
                <xdr:row>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3" r:id="rId34" name="Spinner 7">
          <controlPr locked="0" defaultSize="0" autoPict="0">
            <anchor moveWithCells="1" sizeWithCells="1">
              <from>
                <xdr:col>65</xdr:col>
                <xdr:colOff>47625</xdr:colOff>
                <xdr:row>11</xdr:row>
                <xdr:rowOff>0</xdr:rowOff>
              </from>
              <to>
                <xdr:col>66</xdr:col>
                <xdr:colOff>57150</xdr:colOff>
                <xdr:row>12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4" r:id="rId35" name="Spinner 8">
          <controlPr locked="0" defaultSize="0" autoPict="0">
            <anchor moveWithCells="1" sizeWithCells="1">
              <from>
                <xdr:col>52</xdr:col>
                <xdr:colOff>38100</xdr:colOff>
                <xdr:row>11</xdr:row>
                <xdr:rowOff>0</xdr:rowOff>
              </from>
              <to>
                <xdr:col>53</xdr:col>
                <xdr:colOff>47625</xdr:colOff>
                <xdr:row>12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5" r:id="rId36" name="Option Button 9">
          <controlPr locked="0" defaultSize="0" autoFill="0" autoLine="0" autoPict="0">
            <anchor moveWithCells="1">
              <from>
                <xdr:col>46</xdr:col>
                <xdr:colOff>66675</xdr:colOff>
                <xdr:row>11</xdr:row>
                <xdr:rowOff>19050</xdr:rowOff>
              </from>
              <to>
                <xdr:col>48</xdr:col>
                <xdr:colOff>9525</xdr:colOff>
                <xdr:row>11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7" r:id="rId37" name="Drop Down 11">
          <controlPr locked="0" defaultSize="0" autoLine="0" autoPict="0">
            <anchor moveWithCells="1">
              <from>
                <xdr:col>46</xdr:col>
                <xdr:colOff>133350</xdr:colOff>
                <xdr:row>5</xdr:row>
                <xdr:rowOff>38100</xdr:rowOff>
              </from>
              <to>
                <xdr:col>52</xdr:col>
                <xdr:colOff>66675</xdr:colOff>
                <xdr:row>5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2" r:id="rId38" name="Option Button 16">
          <controlPr locked="0" defaultSize="0" autoFill="0" autoLine="0" autoPict="0">
            <anchor moveWithCells="1">
              <from>
                <xdr:col>46</xdr:col>
                <xdr:colOff>66675</xdr:colOff>
                <xdr:row>9</xdr:row>
                <xdr:rowOff>9525</xdr:rowOff>
              </from>
              <to>
                <xdr:col>48</xdr:col>
                <xdr:colOff>38100</xdr:colOff>
                <xdr:row>9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4" r:id="rId39" name="Spinner 38">
          <controlPr locked="0" defaultSize="0" autoPict="0">
            <anchor moveWithCells="1" sizeWithCells="1">
              <from>
                <xdr:col>65</xdr:col>
                <xdr:colOff>38100</xdr:colOff>
                <xdr:row>5</xdr:row>
                <xdr:rowOff>0</xdr:rowOff>
              </from>
              <to>
                <xdr:col>66</xdr:col>
                <xdr:colOff>47625</xdr:colOff>
                <xdr:row>6</xdr:row>
                <xdr:rowOff>0</xdr:rowOff>
              </to>
            </anchor>
          </controlPr>
        </control>
      </mc:Choice>
    </mc:AlternateContent>
  </control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between" id="{1E042BCC-D221-4588-8D2F-3E0DC58CAEB2}">
            <xm:f>Limits!$K$12</xm:f>
            <xm:f>Limits!$L$12</xm:f>
            <x14:dxf>
              <font>
                <b val="0"/>
                <i val="0"/>
                <color theme="1"/>
              </font>
            </x14:dxf>
          </x14:cfRule>
          <xm:sqref>AW12</xm:sqref>
        </x14:conditionalFormatting>
        <x14:conditionalFormatting xmlns:xm="http://schemas.microsoft.com/office/excel/2006/main">
          <x14:cfRule type="cellIs" priority="16" operator="between" id="{89FB7918-FAA4-49B6-A045-4B1FBF4AE652}">
            <xm:f>Limits!$K$10</xm:f>
            <xm:f>Limits!$L$10</xm:f>
            <x14:dxf>
              <font>
                <b val="0"/>
                <i val="0"/>
                <color theme="1"/>
              </font>
            </x14:dxf>
          </x14:cfRule>
          <xm:sqref>AW4</xm:sqref>
        </x14:conditionalFormatting>
        <x14:conditionalFormatting xmlns:xm="http://schemas.microsoft.com/office/excel/2006/main">
          <x14:cfRule type="cellIs" priority="19" operator="between" id="{436034B1-42EB-4F76-914D-42318C1C8530}">
            <xm:f>Limits!$K$11</xm:f>
            <xm:f>Limits!$L$11</xm:f>
            <x14:dxf>
              <font>
                <b val="0"/>
                <i val="0"/>
                <color theme="1"/>
              </font>
            </x14:dxf>
          </x14:cfRule>
          <xm:sqref>AW5</xm:sqref>
        </x14:conditionalFormatting>
        <x14:conditionalFormatting xmlns:xm="http://schemas.microsoft.com/office/excel/2006/main">
          <x14:cfRule type="cellIs" priority="22" operator="between" id="{0AB460BC-0AC5-4F18-8C4A-B7E96AE9DCF2}">
            <xm:f>Limits!$K$9</xm:f>
            <xm:f>Limits!$L$9</xm:f>
            <x14:dxf>
              <font>
                <b val="0"/>
                <i val="0"/>
                <color theme="1"/>
              </font>
            </x14:dxf>
          </x14:cfRule>
          <xm:sqref>AW3</xm:sqref>
        </x14:conditionalFormatting>
        <x14:conditionalFormatting xmlns:xm="http://schemas.microsoft.com/office/excel/2006/main">
          <x14:cfRule type="cellIs" priority="24" operator="between" id="{0C71825F-C606-4354-A8D8-516B7B1FAB68}">
            <xm:f>Limits!$K$13</xm:f>
            <xm:f>Limits!$L$13</xm:f>
            <x14:dxf>
              <font>
                <b val="0"/>
                <i val="0"/>
                <color theme="1"/>
              </font>
            </x14:dxf>
          </x14:cfRule>
          <xm:sqref>BJ12</xm:sqref>
        </x14:conditionalFormatting>
        <x14:conditionalFormatting xmlns:xm="http://schemas.microsoft.com/office/excel/2006/main">
          <x14:cfRule type="cellIs" priority="25" operator="between" id="{CF52889A-7B25-4A38-B280-C54F19B64B36}">
            <xm:f>Limits!$K$13</xm:f>
            <xm:f>Limits!$L$13</xm:f>
            <x14:dxf>
              <font>
                <b val="0"/>
                <i val="0"/>
                <color theme="0"/>
              </font>
            </x14:dxf>
          </x14:cfRule>
          <xm:sqref>BJ10:BJ11</xm:sqref>
        </x14:conditionalFormatting>
        <x14:conditionalFormatting xmlns:xm="http://schemas.microsoft.com/office/excel/2006/main">
          <x14:cfRule type="cellIs" priority="26" operator="between" id="{CAE2C86D-ADFA-4491-B3F2-F2EC1937A132}">
            <xm:f>Limits!$K$12</xm:f>
            <xm:f>Limits!$L$12</xm:f>
            <x14:dxf>
              <font>
                <color theme="0" tint="-4.9989318521683403E-2"/>
              </font>
            </x14:dxf>
          </x14:cfRule>
          <xm:sqref>AW10:AZ11</xm:sqref>
        </x14:conditionalFormatting>
        <x14:conditionalFormatting xmlns:xm="http://schemas.microsoft.com/office/excel/2006/main">
          <x14:cfRule type="cellIs" priority="1" operator="between" id="{3AACB5B2-2D4C-470B-B999-1A49F2B7F047}">
            <xm:f>Limits!$K$14</xm:f>
            <xm:f>Limits!$L$14</xm:f>
            <x14:dxf>
              <font>
                <b val="0"/>
                <i val="0"/>
                <color theme="1"/>
              </font>
            </x14:dxf>
          </x14:cfRule>
          <xm:sqref>BJ6:BM6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whole" allowBlank="1" showInputMessage="1" showErrorMessage="1" errorTitle="Nicht möglich! / Invalid value!" error="Wert überschreitet die angegebenen Grenzen oder ist nicht numerisch._x000a_Value either exceeds limits or is not numeric.">
          <x14:formula1>
            <xm:f>Limits!K13</xm:f>
          </x14:formula1>
          <x14:formula2>
            <xm:f>Limits!L13</xm:f>
          </x14:formula2>
          <xm:sqref>BJ12:BM13</xm:sqref>
        </x14:dataValidation>
        <x14:dataValidation type="decimal" allowBlank="1" showInputMessage="1" showErrorMessage="1" errorTitle="Nicht möglich! / Invalid value!" error="Wert überschreitet die angegebenen Grenzen oder ist nicht numerisch._x000a_Value either exceeds limits or is not numeric.">
          <x14:formula1>
            <xm:f>Limits!K12</xm:f>
          </x14:formula1>
          <x14:formula2>
            <xm:f>Limits!L12</xm:f>
          </x14:formula2>
          <xm:sqref>AW12:AZ13</xm:sqref>
        </x14:dataValidation>
        <x14:dataValidation type="decimal" allowBlank="1" showErrorMessage="1" errorTitle="Nicht möglich! / Invalid value!" error="Wert überschreitet die angegebenen Grenzen oder ist nicht numerisch._x000a_Value either exceeds limits or is not numeric." promptTitle="Bitte Werteingabe korrigieren" prompt="Bitte den Wertebereich nicht verlassen">
          <x14:formula1>
            <xm:f>Limits!K14</xm:f>
          </x14:formula1>
          <x14:formula2>
            <xm:f>Limits!L14</xm:f>
          </x14:formula2>
          <xm:sqref>BJ6:BM6</xm:sqref>
        </x14:dataValidation>
        <x14:dataValidation type="decimal" allowBlank="1" showInputMessage="1" showErrorMessage="1" errorTitle="Nicht möglich! / Invalid value!" error="Wert überschreitet die angegebenen Grenzen oder ist nicht numerisch._x000a_Value either exceeds limits or is not numeric.">
          <x14:formula1>
            <xm:f>Limits!K9</xm:f>
          </x14:formula1>
          <x14:formula2>
            <xm:f>Limits!L9</xm:f>
          </x14:formula2>
          <xm:sqref>AW3:AZ4</xm:sqref>
        </x14:dataValidation>
        <x14:dataValidation type="decimal" allowBlank="1" showErrorMessage="1" errorTitle="Nicht möglich! / Invalid value!" error="Wert überschreitet die angegebenen Grenzen oder ist nicht numerisch._x000a_Value either exceeds limits or is not numeric._x000a_" promptTitle="Bitte Werteingabe korrigieren" prompt="Bitte den Wertebereich nicht verlassen">
          <x14:formula1>
            <xm:f>Limits!K11</xm:f>
          </x14:formula1>
          <x14:formula2>
            <xm:f>Limits!L11</xm:f>
          </x14:formula2>
          <xm:sqref>AW5:AZ5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1"/>
  <dimension ref="A1:BC812"/>
  <sheetViews>
    <sheetView zoomScale="90" zoomScaleNormal="90" workbookViewId="0">
      <pane ySplit="1" topLeftCell="A2" activePane="bottomLeft" state="frozen"/>
      <selection pane="bottomLeft" activeCell="AB1" sqref="AB1:AB1048576"/>
    </sheetView>
  </sheetViews>
  <sheetFormatPr defaultColWidth="11.42578125" defaultRowHeight="15" x14ac:dyDescent="0.25"/>
  <cols>
    <col min="1" max="2" width="6.5703125" customWidth="1"/>
    <col min="3" max="3" width="9.85546875" style="296" customWidth="1"/>
    <col min="4" max="4" width="8.7109375" style="28" customWidth="1"/>
    <col min="5" max="5" width="6.5703125" style="20" customWidth="1"/>
    <col min="6" max="6" width="8.7109375" style="71" customWidth="1"/>
    <col min="7" max="10" width="6.5703125" style="72" customWidth="1"/>
    <col min="11" max="11" width="6.5703125" style="63" customWidth="1"/>
    <col min="12" max="14" width="6.5703125" style="65" customWidth="1"/>
    <col min="15" max="15" width="6.5703125" style="64" customWidth="1"/>
    <col min="16" max="16" width="8.5703125" style="68" customWidth="1"/>
    <col min="17" max="17" width="7.85546875" style="69" customWidth="1"/>
    <col min="18" max="18" width="7.7109375" style="69" customWidth="1"/>
    <col min="19" max="19" width="10.5703125" style="69" customWidth="1"/>
    <col min="20" max="20" width="14.7109375" style="14" hidden="1" customWidth="1"/>
    <col min="21" max="21" width="29" customWidth="1"/>
    <col min="22" max="22" width="5.85546875" style="3" customWidth="1"/>
    <col min="23" max="23" width="6.7109375" customWidth="1"/>
    <col min="24" max="24" width="17.140625" style="3" customWidth="1"/>
    <col min="25" max="25" width="8.42578125" customWidth="1"/>
    <col min="26" max="26" width="0" hidden="1" customWidth="1"/>
    <col min="27" max="27" width="6.85546875" customWidth="1"/>
    <col min="28" max="28" width="6.7109375" style="2" customWidth="1"/>
    <col min="29" max="29" width="6.5703125" bestFit="1" customWidth="1"/>
    <col min="30" max="30" width="11.42578125" customWidth="1"/>
    <col min="31" max="32" width="6.5703125" bestFit="1" customWidth="1"/>
    <col min="33" max="33" width="5.140625" style="278" customWidth="1"/>
    <col min="34" max="34" width="4.140625" style="279" customWidth="1"/>
    <col min="35" max="35" width="5.140625" style="280" customWidth="1"/>
    <col min="36" max="36" width="5.140625" style="279" customWidth="1"/>
    <col min="37" max="37" width="6.5703125" style="257" customWidth="1"/>
    <col min="38" max="38" width="19.28515625" style="169" customWidth="1"/>
    <col min="39" max="39" width="12.85546875" style="4" customWidth="1"/>
    <col min="40" max="40" width="20" customWidth="1"/>
    <col min="41" max="41" width="21.7109375" style="1" customWidth="1"/>
    <col min="42" max="42" width="40.7109375" style="4" customWidth="1"/>
    <col min="43" max="43" width="17.7109375" style="7" customWidth="1"/>
    <col min="44" max="44" width="11" style="6" bestFit="1" customWidth="1"/>
    <col min="45" max="45" width="44.7109375" style="3" customWidth="1"/>
    <col min="46" max="46" width="38.28515625" bestFit="1" customWidth="1"/>
    <col min="47" max="47" width="23" style="1" customWidth="1"/>
    <col min="48" max="48" width="13.7109375" style="1" customWidth="1"/>
    <col min="49" max="50" width="17" customWidth="1"/>
    <col min="51" max="51" width="13.28515625" style="10" customWidth="1"/>
    <col min="52" max="52" width="39.85546875" style="11" bestFit="1" customWidth="1"/>
    <col min="53" max="53" width="11" style="2" bestFit="1" customWidth="1"/>
    <col min="54" max="55" width="6.5703125" style="2" bestFit="1" customWidth="1"/>
    <col min="56" max="56" width="7.5703125" customWidth="1"/>
    <col min="57" max="57" width="11.85546875" customWidth="1"/>
  </cols>
  <sheetData>
    <row r="1" spans="1:55" ht="96" thickBot="1" x14ac:dyDescent="0.3">
      <c r="A1" s="24" t="s">
        <v>172</v>
      </c>
      <c r="B1" s="26" t="s">
        <v>174</v>
      </c>
      <c r="C1" s="289" t="s">
        <v>1623</v>
      </c>
      <c r="D1" s="29" t="s">
        <v>163</v>
      </c>
      <c r="E1" s="24" t="s">
        <v>170</v>
      </c>
      <c r="F1" s="70" t="s">
        <v>168</v>
      </c>
      <c r="G1" s="70" t="s">
        <v>167</v>
      </c>
      <c r="H1" s="70" t="s">
        <v>166</v>
      </c>
      <c r="I1" s="70" t="s">
        <v>165</v>
      </c>
      <c r="J1" s="70" t="s">
        <v>164</v>
      </c>
      <c r="K1" s="61" t="s">
        <v>159</v>
      </c>
      <c r="L1" s="62" t="s">
        <v>160</v>
      </c>
      <c r="M1" s="62" t="s">
        <v>161</v>
      </c>
      <c r="N1" s="62" t="s">
        <v>162</v>
      </c>
      <c r="O1" s="62" t="s">
        <v>158</v>
      </c>
      <c r="P1" s="66" t="s">
        <v>59</v>
      </c>
      <c r="Q1" s="67" t="s">
        <v>11</v>
      </c>
      <c r="R1" s="67" t="s">
        <v>60</v>
      </c>
      <c r="S1" s="67" t="s">
        <v>62</v>
      </c>
      <c r="T1" s="23" t="s">
        <v>36</v>
      </c>
      <c r="U1" s="25" t="s">
        <v>0</v>
      </c>
      <c r="V1" s="22" t="s">
        <v>74</v>
      </c>
      <c r="W1" s="23" t="s">
        <v>75</v>
      </c>
      <c r="X1" s="24" t="s">
        <v>20</v>
      </c>
      <c r="Y1" s="24" t="s">
        <v>106</v>
      </c>
      <c r="Z1" s="24" t="s">
        <v>100</v>
      </c>
      <c r="AA1" s="24" t="s">
        <v>67</v>
      </c>
      <c r="AB1" s="26" t="s">
        <v>68</v>
      </c>
      <c r="AC1" s="24" t="s">
        <v>69</v>
      </c>
      <c r="AD1" s="27" t="s">
        <v>70</v>
      </c>
      <c r="AE1" s="26" t="s">
        <v>71</v>
      </c>
      <c r="AF1" s="258" t="s">
        <v>1624</v>
      </c>
      <c r="AG1" s="259" t="s">
        <v>1625</v>
      </c>
      <c r="AH1" s="259" t="s">
        <v>1626</v>
      </c>
      <c r="AI1" s="259" t="s">
        <v>1627</v>
      </c>
      <c r="AJ1" s="250" t="s">
        <v>1628</v>
      </c>
      <c r="AK1" s="168" t="s">
        <v>1629</v>
      </c>
      <c r="AL1" s="26" t="s">
        <v>15</v>
      </c>
      <c r="AM1" s="24" t="s">
        <v>72</v>
      </c>
      <c r="AN1" s="24" t="s">
        <v>73</v>
      </c>
      <c r="AO1" s="24" t="s">
        <v>8</v>
      </c>
      <c r="AP1" s="24" t="s">
        <v>76</v>
      </c>
      <c r="AQ1" s="24" t="s">
        <v>77</v>
      </c>
      <c r="AR1" s="26" t="s">
        <v>78</v>
      </c>
      <c r="AS1" s="59" t="s">
        <v>677</v>
      </c>
      <c r="AT1" s="60" t="s">
        <v>680</v>
      </c>
      <c r="AU1"/>
      <c r="AV1"/>
      <c r="AY1"/>
      <c r="AZ1"/>
      <c r="BA1"/>
      <c r="BB1"/>
      <c r="BC1"/>
    </row>
    <row r="2" spans="1:55" ht="15.75" hidden="1" thickBot="1" x14ac:dyDescent="0.3">
      <c r="A2" s="12" t="str">
        <f ca="1">IF(F2+G2+H2+I2+J2+D2+E2=3,IF(Tabelle2[[#This Row],[Kappe Weiß]]=Limits!$R$29,1,""),"")</f>
        <v/>
      </c>
      <c r="B2" s="12" t="str">
        <f ca="1">IF(G2+H2+I2+J2+E2+F2=2,IF(Tabelle2[[#This Row],[Kappe Weiß]]=Limits!$R$29,1,""),"")</f>
        <v/>
      </c>
      <c r="C2" s="290">
        <v>0</v>
      </c>
      <c r="D2" s="171">
        <f>IF(Limits!$P$4=TRUE,1,0)</f>
        <v>0</v>
      </c>
      <c r="E2" s="172">
        <f>IF(Daten!$P2+Daten!$Q2+Daten!$S2=3,1,0)</f>
        <v>0</v>
      </c>
      <c r="F2" s="173">
        <f ca="1">IF(AND(Limits!$Q$21=TRUE,Daten!O2=1)=TRUE,1,0)</f>
        <v>1</v>
      </c>
      <c r="G2" s="174">
        <f ca="1">IF(AND(Limits!$Q$25=TRUE,Daten!N2=1)=TRUE,1,0)</f>
        <v>0</v>
      </c>
      <c r="H2" s="174">
        <f ca="1">IF(AND(Limits!$Q$24=TRUE,Daten!M2=1)=TRUE,1,0)</f>
        <v>0</v>
      </c>
      <c r="I2" s="174">
        <f ca="1">IF(AND(Limits!$Q$23=TRUE,Daten!L2=1)=TRUE,1,0)</f>
        <v>0</v>
      </c>
      <c r="J2" s="174">
        <f ca="1">IF(AND(Limits!$Q$22=TRUE,Daten!K2=1)=TRUE,1,0)</f>
        <v>0</v>
      </c>
      <c r="K2" s="175">
        <f ca="1">IF(Daten!$V2=13,1,0)</f>
        <v>0</v>
      </c>
      <c r="L2" s="176">
        <f ca="1">IF(Daten!$V2&lt;&gt;Daten!$W2,1,IF(Daten!$V2=14,1,0))</f>
        <v>0</v>
      </c>
      <c r="M2" s="176">
        <f ca="1">IF(Daten!$V2&lt;&gt;Daten!$W2,1,IF(Daten!$V2=16,1,0))</f>
        <v>0</v>
      </c>
      <c r="N2" s="176">
        <f ca="1">IF(Daten!$W2=17,1,0)</f>
        <v>0</v>
      </c>
      <c r="O2" s="177">
        <f ca="1">IF(Daten!$X2=Sprache!$A$70,1,0)</f>
        <v>1</v>
      </c>
      <c r="P2" s="178">
        <f>IF(AND(Daten!$AQ2&lt;=KINVARO!$AW$3,Daten!$AR2&gt;=KINVARO!$AW$3)=TRUE,1,0)</f>
        <v>1</v>
      </c>
      <c r="Q2" s="179">
        <f>IF(AND(Daten!$AA2&lt;=KINVARO!$AW$4,Daten!$AB2&gt;=KINVARO!$AW$4)=TRUE,1,0)</f>
        <v>0</v>
      </c>
      <c r="R2" s="179"/>
      <c r="S2" s="179">
        <f>IF(AND(Daten!$AD2&lt;=Limits!$I$70,Daten!$AE2&gt;=Limits!$I$70)=TRUE,1,0)</f>
        <v>0</v>
      </c>
      <c r="T2" s="180">
        <f ca="1">IF(Daten!$Y2=Sprache!$A$135,1,0)</f>
        <v>0</v>
      </c>
      <c r="U2" s="181" t="str">
        <f ca="1">Sprache!$A$60</f>
        <v>L-80 Вертикальный подъемник</v>
      </c>
      <c r="V2" s="182" t="str">
        <f ca="1">Sprache!$A$74</f>
        <v>var</v>
      </c>
      <c r="W2" s="180" t="str">
        <f ca="1">Sprache!$A$74</f>
        <v>var</v>
      </c>
      <c r="X2" s="183" t="str">
        <f ca="1">Sprache!$A$70</f>
        <v>соединение с древесиной</v>
      </c>
      <c r="Y2" s="183" t="str">
        <f ca="1">Sprache!$A$136</f>
        <v>nein</v>
      </c>
      <c r="Z2" s="183" t="str">
        <f ca="1">Sprache!$A$106</f>
        <v>Korpus</v>
      </c>
      <c r="AA2" s="183">
        <v>350</v>
      </c>
      <c r="AB2" s="181">
        <v>369</v>
      </c>
      <c r="AC2" s="183"/>
      <c r="AD2" s="184">
        <v>2.5</v>
      </c>
      <c r="AE2" s="185">
        <v>6.5</v>
      </c>
      <c r="AF2" s="260" t="str">
        <f>MID(Tabelle2[[#This Row],[bnr full]],1,4)</f>
        <v>F152</v>
      </c>
      <c r="AG2" s="261" t="str">
        <f>MID(Tabelle2[[#This Row],[bnr full]],5,3)</f>
        <v>145</v>
      </c>
      <c r="AH2" s="262" t="str">
        <f>MID(Tabelle2[[#This Row],[bnr full]],8,3)</f>
        <v>248</v>
      </c>
      <c r="AI2" s="261" t="str">
        <f>MID(Tabelle2[[#This Row],[bnr full]],11,3)</f>
        <v>201</v>
      </c>
      <c r="AJ2" s="251" t="str">
        <f>MID(Tabelle2[[#This Row],[bnr full]],11,3)</f>
        <v>201</v>
      </c>
      <c r="AK2" s="186" t="s">
        <v>760</v>
      </c>
      <c r="AL2" s="181" t="str">
        <f ca="1">Sprache!$A$111</f>
        <v>Комплект (Л + П)</v>
      </c>
      <c r="AM2" s="183" t="str">
        <f ca="1">Sprache!$A$113</f>
        <v>Направляющий рычаг, тип 1</v>
      </c>
      <c r="AN2" s="183" t="str">
        <f ca="1">Sprache!$A$120</f>
        <v>Силовой механизм A</v>
      </c>
      <c r="AO2" s="183" t="s">
        <v>25</v>
      </c>
      <c r="AP2" s="183" t="s">
        <v>25</v>
      </c>
      <c r="AQ2" s="183">
        <v>450</v>
      </c>
      <c r="AR2" s="181">
        <v>1200</v>
      </c>
      <c r="AS2" s="187"/>
      <c r="AT2" s="124"/>
      <c r="AU2"/>
      <c r="AV2"/>
      <c r="AY2"/>
      <c r="AZ2"/>
      <c r="BA2"/>
      <c r="BB2"/>
      <c r="BC2"/>
    </row>
    <row r="3" spans="1:55" ht="15.75" hidden="1" thickBot="1" x14ac:dyDescent="0.3">
      <c r="A3" s="12" t="str">
        <f ca="1">IF(F3+G3+H3+I3+J3+D3+E3=3,IF(Tabelle2[[#This Row],[Kappe Weiß]]=Limits!$R$29,1,""),"")</f>
        <v/>
      </c>
      <c r="B3" s="12" t="str">
        <f ca="1">IF(G3+H3+I3+J3+E3+F3=2,IF(Tabelle2[[#This Row],[Kappe Weiß]]=Limits!$R$29,1,""),"")</f>
        <v/>
      </c>
      <c r="C3" s="291">
        <v>0</v>
      </c>
      <c r="D3" s="171">
        <f>IF(Limits!$P$4=TRUE,1,0)</f>
        <v>0</v>
      </c>
      <c r="E3" s="172">
        <f>IF(Daten!$P3+Daten!$Q3+Daten!$S3=3,1,0)</f>
        <v>0</v>
      </c>
      <c r="F3" s="173">
        <f ca="1">IF(AND(Limits!$Q$21=TRUE,Daten!O3=1)=TRUE,1,0)</f>
        <v>1</v>
      </c>
      <c r="G3" s="174">
        <f ca="1">IF(AND(Limits!$Q$25=TRUE,Daten!N3=1)=TRUE,1,0)</f>
        <v>0</v>
      </c>
      <c r="H3" s="174">
        <f ca="1">IF(AND(Limits!$Q$24=TRUE,Daten!M3=1)=TRUE,1,0)</f>
        <v>0</v>
      </c>
      <c r="I3" s="174">
        <f ca="1">IF(AND(Limits!$Q$23=TRUE,Daten!L3=1)=TRUE,1,0)</f>
        <v>0</v>
      </c>
      <c r="J3" s="174">
        <f ca="1">IF(AND(Limits!$Q$22=TRUE,Daten!K3=1)=TRUE,1,0)</f>
        <v>0</v>
      </c>
      <c r="K3" s="188">
        <f ca="1">IF(Daten!$V3=13,1,0)</f>
        <v>0</v>
      </c>
      <c r="L3" s="189">
        <f ca="1">IF(Daten!$V3&lt;&gt;Daten!$W3,1,IF(Daten!$V3=14,1,0))</f>
        <v>0</v>
      </c>
      <c r="M3" s="189">
        <f ca="1">IF(Daten!$V3&lt;&gt;Daten!$W3,1,IF(Daten!$V3=16,1,0))</f>
        <v>0</v>
      </c>
      <c r="N3" s="189">
        <f ca="1">IF(Daten!$W3=17,1,0)</f>
        <v>0</v>
      </c>
      <c r="O3" s="190">
        <f ca="1">IF(Daten!$X3=Sprache!$A$70,1,0)</f>
        <v>1</v>
      </c>
      <c r="P3" s="191">
        <f>IF(AND(Daten!$AQ3&lt;=KINVARO!$AW$3,Daten!$AR3&gt;=KINVARO!$AW$3)=TRUE,1,0)</f>
        <v>1</v>
      </c>
      <c r="Q3" s="192">
        <f>IF(AND(Daten!$AA3&lt;=KINVARO!$AW$4,Daten!$AB3&gt;=KINVARO!$AW$4)=TRUE,1,0)</f>
        <v>0</v>
      </c>
      <c r="R3" s="192"/>
      <c r="S3" s="192">
        <f>IF(AND(Daten!$AD3&lt;=Limits!$I$70,Daten!$AE3&gt;=Limits!$I$70)=TRUE,1,0)</f>
        <v>0</v>
      </c>
      <c r="T3" s="193">
        <f ca="1">IF(Daten!$Y3=Sprache!$A$135,1,0)</f>
        <v>0</v>
      </c>
      <c r="U3" s="124" t="str">
        <f ca="1">Sprache!$A$60</f>
        <v>L-80 Вертикальный подъемник</v>
      </c>
      <c r="V3" s="194" t="str">
        <f ca="1">Sprache!$A$74</f>
        <v>var</v>
      </c>
      <c r="W3" s="193" t="str">
        <f ca="1">Sprache!$A$74</f>
        <v>var</v>
      </c>
      <c r="X3" s="187" t="str">
        <f ca="1">Sprache!$A$70</f>
        <v>соединение с древесиной</v>
      </c>
      <c r="Y3" s="187" t="str">
        <f ca="1">Sprache!$A$136</f>
        <v>nein</v>
      </c>
      <c r="Z3" s="187" t="str">
        <f ca="1">Sprache!$A$106</f>
        <v>Korpus</v>
      </c>
      <c r="AA3" s="187">
        <v>350</v>
      </c>
      <c r="AB3" s="124">
        <v>369</v>
      </c>
      <c r="AC3" s="187"/>
      <c r="AD3" s="195">
        <v>6</v>
      </c>
      <c r="AE3" s="196">
        <v>9.5</v>
      </c>
      <c r="AF3" s="263" t="str">
        <f>MID(Tabelle2[[#This Row],[bnr full]],1,4)</f>
        <v>F152</v>
      </c>
      <c r="AG3" s="264" t="str">
        <f>MID(Tabelle2[[#This Row],[bnr full]],5,3)</f>
        <v>147</v>
      </c>
      <c r="AH3" s="265" t="str">
        <f>MID(Tabelle2[[#This Row],[bnr full]],8,3)</f>
        <v>444</v>
      </c>
      <c r="AI3" s="264" t="str">
        <f>MID(Tabelle2[[#This Row],[bnr full]],11,3)</f>
        <v>201</v>
      </c>
      <c r="AJ3" s="252" t="str">
        <f>MID(Tabelle2[[#This Row],[bnr full]],11,3)</f>
        <v>201</v>
      </c>
      <c r="AK3" s="197" t="s">
        <v>761</v>
      </c>
      <c r="AL3" s="124" t="str">
        <f ca="1">Sprache!$A$111</f>
        <v>Комплект (Л + П)</v>
      </c>
      <c r="AM3" s="187" t="str">
        <f ca="1">Sprache!$A$113</f>
        <v>Направляющий рычаг, тип 1</v>
      </c>
      <c r="AN3" s="187" t="str">
        <f ca="1">Sprache!$A$121</f>
        <v>Силовой механизм B</v>
      </c>
      <c r="AO3" s="187" t="s">
        <v>25</v>
      </c>
      <c r="AP3" s="187" t="s">
        <v>25</v>
      </c>
      <c r="AQ3" s="187">
        <v>450</v>
      </c>
      <c r="AR3" s="124">
        <v>1200</v>
      </c>
      <c r="AS3" s="187"/>
      <c r="AT3" s="124"/>
      <c r="AU3"/>
      <c r="AV3"/>
      <c r="AY3"/>
      <c r="AZ3"/>
      <c r="BA3"/>
      <c r="BB3"/>
      <c r="BC3"/>
    </row>
    <row r="4" spans="1:55" s="4" customFormat="1" ht="15.75" hidden="1" thickBot="1" x14ac:dyDescent="0.3">
      <c r="A4" s="12" t="str">
        <f ca="1">IF(F4+G4+H4+I4+J4+D4+E4=3,IF(Tabelle2[[#This Row],[Kappe Weiß]]=Limits!$R$29,1,""),"")</f>
        <v/>
      </c>
      <c r="B4" s="12" t="str">
        <f ca="1">IF(G4+H4+I4+J4+E4+F4=2,IF(Tabelle2[[#This Row],[Kappe Weiß]]=Limits!$R$29,1,""),"")</f>
        <v/>
      </c>
      <c r="C4" s="291">
        <v>0</v>
      </c>
      <c r="D4" s="171">
        <f>IF(Limits!$P$4=TRUE,1,0)</f>
        <v>0</v>
      </c>
      <c r="E4" s="172">
        <f>IF(Daten!$P4+Daten!$Q4+Daten!$S4=3,1,0)</f>
        <v>0</v>
      </c>
      <c r="F4" s="173">
        <f ca="1">IF(AND(Limits!$Q$21=TRUE,Daten!O4=1)=TRUE,1,0)</f>
        <v>0</v>
      </c>
      <c r="G4" s="174">
        <f>IF(AND(Limits!$Q$25=TRUE,Daten!N4=1)=TRUE,1,0)</f>
        <v>0</v>
      </c>
      <c r="H4" s="174">
        <f>IF(AND(Limits!$Q$24=TRUE,Daten!M4=1)=TRUE,1,0)</f>
        <v>0</v>
      </c>
      <c r="I4" s="174">
        <f>IF(AND(Limits!$Q$23=TRUE,Daten!L4=1)=TRUE,1,0)</f>
        <v>0</v>
      </c>
      <c r="J4" s="174">
        <f>IF(AND(Limits!$Q$22=TRUE,Daten!K4=1)=TRUE,1,0)</f>
        <v>0</v>
      </c>
      <c r="K4" s="188">
        <f>IF(Daten!$V4=13,1,0)</f>
        <v>1</v>
      </c>
      <c r="L4" s="189">
        <f>IF(Daten!$V4&lt;&gt;Daten!$W4,1,IF(Daten!$V4=14,1,0))</f>
        <v>1</v>
      </c>
      <c r="M4" s="189">
        <f>IF(Daten!$V4&lt;&gt;Daten!$W4,1,IF(Daten!$V4=16,1,0))</f>
        <v>1</v>
      </c>
      <c r="N4" s="189">
        <f>IF(Daten!$W4=17,1,0)</f>
        <v>1</v>
      </c>
      <c r="O4" s="190">
        <f ca="1">IF(Daten!$X4=Sprache!$A$70,1,0)</f>
        <v>0</v>
      </c>
      <c r="P4" s="191">
        <f>IF(AND(Daten!$AQ4&lt;=KINVARO!$AW$3,Daten!$AR4&gt;=KINVARO!$AW$3)=TRUE,1,0)</f>
        <v>1</v>
      </c>
      <c r="Q4" s="192">
        <f>IF(AND(Daten!$AA4&lt;=KINVARO!$AW$4,Daten!$AB4&gt;=KINVARO!$AW$4)=TRUE,1,0)</f>
        <v>0</v>
      </c>
      <c r="R4" s="192"/>
      <c r="S4" s="192">
        <f>IF(AND(Daten!$AD4&lt;=Limits!$I$70,Daten!$AE4&gt;=Limits!$I$70)=TRUE,1,0)</f>
        <v>0</v>
      </c>
      <c r="T4" s="193">
        <f ca="1">IF(Daten!$Y4=Sprache!$A$135,1,0)</f>
        <v>0</v>
      </c>
      <c r="U4" s="124" t="str">
        <f ca="1">Sprache!$A$60</f>
        <v>L-80 Вертикальный подъемник</v>
      </c>
      <c r="V4" s="194">
        <v>13</v>
      </c>
      <c r="W4" s="193">
        <v>17</v>
      </c>
      <c r="X4" s="187" t="str">
        <f ca="1">Sprache!$A$141</f>
        <v>Alu</v>
      </c>
      <c r="Y4" s="187" t="str">
        <f ca="1">Sprache!$A$136</f>
        <v>nein</v>
      </c>
      <c r="Z4" s="187" t="str">
        <f ca="1">Sprache!$A$106</f>
        <v>Korpus</v>
      </c>
      <c r="AA4" s="187">
        <v>350</v>
      </c>
      <c r="AB4" s="124">
        <v>369</v>
      </c>
      <c r="AC4" s="187"/>
      <c r="AD4" s="195">
        <v>2.5</v>
      </c>
      <c r="AE4" s="196">
        <v>6.5</v>
      </c>
      <c r="AF4" s="263" t="str">
        <f>MID(Tabelle2[[#This Row],[bnr full]],1,4)</f>
        <v>F152</v>
      </c>
      <c r="AG4" s="264" t="str">
        <f>MID(Tabelle2[[#This Row],[bnr full]],5,3)</f>
        <v>145</v>
      </c>
      <c r="AH4" s="265" t="str">
        <f>MID(Tabelle2[[#This Row],[bnr full]],8,3)</f>
        <v>248</v>
      </c>
      <c r="AI4" s="264" t="str">
        <f>MID(Tabelle2[[#This Row],[bnr full]],11,3)</f>
        <v>201</v>
      </c>
      <c r="AJ4" s="252" t="str">
        <f>MID(Tabelle2[[#This Row],[bnr full]],11,3)</f>
        <v>201</v>
      </c>
      <c r="AK4" s="197" t="s">
        <v>760</v>
      </c>
      <c r="AL4" s="124" t="str">
        <f ca="1">Sprache!$A$111</f>
        <v>Комплект (Л + П)</v>
      </c>
      <c r="AM4" s="187" t="str">
        <f ca="1">Sprache!$A$113</f>
        <v>Направляющий рычаг, тип 1</v>
      </c>
      <c r="AN4" s="187" t="str">
        <f ca="1">Sprache!$A$120</f>
        <v>Силовой механизм A</v>
      </c>
      <c r="AO4" s="187" t="str">
        <f ca="1">Sprache!$A$143
                                                                                                                                                                                                                                                                Sprache!$A$143</f>
        <v>Адаптер под алюминиевые рамки к комплекту Kinvaro L-80</v>
      </c>
      <c r="AP4" s="187" t="s">
        <v>814</v>
      </c>
      <c r="AQ4" s="187">
        <v>450</v>
      </c>
      <c r="AR4" s="124">
        <v>1200</v>
      </c>
      <c r="AS4" s="187"/>
      <c r="AT4" s="124"/>
    </row>
    <row r="5" spans="1:55" s="5" customFormat="1" ht="15.75" hidden="1" thickBot="1" x14ac:dyDescent="0.3">
      <c r="A5" s="12" t="str">
        <f ca="1">IF(F5+G5+H5+I5+J5+D5+E5=3,IF(Tabelle2[[#This Row],[Kappe Weiß]]=Limits!$R$29,1,""),"")</f>
        <v/>
      </c>
      <c r="B5" s="12" t="str">
        <f ca="1">IF(G5+H5+I5+J5+E5+F5=2,IF(Tabelle2[[#This Row],[Kappe Weiß]]=Limits!$R$29,1,""),"")</f>
        <v/>
      </c>
      <c r="C5" s="291">
        <v>0</v>
      </c>
      <c r="D5" s="171">
        <f>IF(Limits!$P$4=TRUE,1,0)</f>
        <v>0</v>
      </c>
      <c r="E5" s="172">
        <f>IF(Daten!$P5+Daten!$Q5+Daten!$S5=3,1,0)</f>
        <v>0</v>
      </c>
      <c r="F5" s="173">
        <f ca="1">IF(AND(Limits!$Q$21=TRUE,Daten!O5=1)=TRUE,1,0)</f>
        <v>0</v>
      </c>
      <c r="G5" s="174">
        <f>IF(AND(Limits!$Q$25=TRUE,Daten!N5=1)=TRUE,1,0)</f>
        <v>0</v>
      </c>
      <c r="H5" s="174">
        <f>IF(AND(Limits!$Q$24=TRUE,Daten!M5=1)=TRUE,1,0)</f>
        <v>0</v>
      </c>
      <c r="I5" s="174">
        <f>IF(AND(Limits!$Q$23=TRUE,Daten!L5=1)=TRUE,1,0)</f>
        <v>0</v>
      </c>
      <c r="J5" s="174">
        <f>IF(AND(Limits!$Q$22=TRUE,Daten!K5=1)=TRUE,1,0)</f>
        <v>0</v>
      </c>
      <c r="K5" s="188">
        <f>IF(Daten!$V5=13,1,0)</f>
        <v>1</v>
      </c>
      <c r="L5" s="189">
        <f>IF(Daten!$V5&lt;&gt;Daten!$W5,1,IF(Daten!$V5=14,1,0))</f>
        <v>1</v>
      </c>
      <c r="M5" s="189">
        <f>IF(Daten!$V5&lt;&gt;Daten!$W5,1,IF(Daten!$V5=16,1,0))</f>
        <v>1</v>
      </c>
      <c r="N5" s="189">
        <f>IF(Daten!$W5=17,1,0)</f>
        <v>1</v>
      </c>
      <c r="O5" s="190">
        <f ca="1">IF(Daten!$X5=Sprache!$A$70,1,0)</f>
        <v>0</v>
      </c>
      <c r="P5" s="191">
        <f>IF(AND(Daten!$AQ5&lt;=KINVARO!$AW$3,Daten!$AR5&gt;=KINVARO!$AW$3)=TRUE,1,0)</f>
        <v>1</v>
      </c>
      <c r="Q5" s="192">
        <f>IF(AND(Daten!$AA5&lt;=KINVARO!$AW$4,Daten!$AB5&gt;=KINVARO!$AW$4)=TRUE,1,0)</f>
        <v>0</v>
      </c>
      <c r="R5" s="192"/>
      <c r="S5" s="192">
        <f>IF(AND(Daten!$AD5&lt;=Limits!$I$70,Daten!$AE5&gt;=Limits!$I$70)=TRUE,1,0)</f>
        <v>0</v>
      </c>
      <c r="T5" s="193">
        <f ca="1">IF(Daten!$Y5=Sprache!$A$135,1,0)</f>
        <v>0</v>
      </c>
      <c r="U5" s="124" t="str">
        <f ca="1">Sprache!$A$60</f>
        <v>L-80 Вертикальный подъемник</v>
      </c>
      <c r="V5" s="194">
        <v>13</v>
      </c>
      <c r="W5" s="193">
        <v>17</v>
      </c>
      <c r="X5" s="187" t="str">
        <f ca="1">Sprache!$A$141</f>
        <v>Alu</v>
      </c>
      <c r="Y5" s="187" t="str">
        <f ca="1">Sprache!$A$136</f>
        <v>nein</v>
      </c>
      <c r="Z5" s="187" t="str">
        <f ca="1">Sprache!$A$106</f>
        <v>Korpus</v>
      </c>
      <c r="AA5" s="187">
        <v>350</v>
      </c>
      <c r="AB5" s="124">
        <v>369</v>
      </c>
      <c r="AC5" s="187"/>
      <c r="AD5" s="195">
        <v>6</v>
      </c>
      <c r="AE5" s="196">
        <v>9.5</v>
      </c>
      <c r="AF5" s="263" t="str">
        <f>MID(Tabelle2[[#This Row],[bnr full]],1,4)</f>
        <v>F152</v>
      </c>
      <c r="AG5" s="264" t="str">
        <f>MID(Tabelle2[[#This Row],[bnr full]],5,3)</f>
        <v>147</v>
      </c>
      <c r="AH5" s="265" t="str">
        <f>MID(Tabelle2[[#This Row],[bnr full]],8,3)</f>
        <v>444</v>
      </c>
      <c r="AI5" s="264" t="str">
        <f>MID(Tabelle2[[#This Row],[bnr full]],11,3)</f>
        <v>201</v>
      </c>
      <c r="AJ5" s="252" t="str">
        <f>MID(Tabelle2[[#This Row],[bnr full]],11,3)</f>
        <v>201</v>
      </c>
      <c r="AK5" s="197" t="s">
        <v>761</v>
      </c>
      <c r="AL5" s="124" t="str">
        <f ca="1">Sprache!$A$111</f>
        <v>Комплект (Л + П)</v>
      </c>
      <c r="AM5" s="187" t="str">
        <f ca="1">Sprache!$A$113</f>
        <v>Направляющий рычаг, тип 1</v>
      </c>
      <c r="AN5" s="187" t="str">
        <f ca="1">Sprache!$A$121</f>
        <v>Силовой механизм B</v>
      </c>
      <c r="AO5" s="187" t="str">
        <f ca="1">Sprache!$A$143</f>
        <v>Адаптер под алюминиевые рамки к комплекту Kinvaro L-80</v>
      </c>
      <c r="AP5" s="187" t="s">
        <v>814</v>
      </c>
      <c r="AQ5" s="187">
        <v>450</v>
      </c>
      <c r="AR5" s="124">
        <v>1200</v>
      </c>
      <c r="AS5" s="187"/>
      <c r="AT5" s="124"/>
    </row>
    <row r="6" spans="1:55" ht="15.75" hidden="1" thickBot="1" x14ac:dyDescent="0.3">
      <c r="A6" s="12" t="str">
        <f ca="1">IF(F6+G6+H6+I6+J6+D6+E6=3,IF(Tabelle2[[#This Row],[Kappe Weiß]]=Limits!$R$29,1,""),"")</f>
        <v/>
      </c>
      <c r="B6" s="12" t="str">
        <f ca="1">IF(G6+H6+I6+J6+E6+F6=2,IF(Tabelle2[[#This Row],[Kappe Weiß]]=Limits!$R$29,1,""),"")</f>
        <v/>
      </c>
      <c r="C6" s="292">
        <v>0</v>
      </c>
      <c r="D6" s="171">
        <f>IF(Limits!$P$4=TRUE,1,0)</f>
        <v>0</v>
      </c>
      <c r="E6" s="172">
        <f>IF(Daten!$P6+Daten!$Q6+Daten!$S6=3,1,0)</f>
        <v>0</v>
      </c>
      <c r="F6" s="173">
        <f ca="1">IF(AND(Limits!$Q$21=TRUE,Daten!O6=1)=TRUE,1,0)</f>
        <v>1</v>
      </c>
      <c r="G6" s="174">
        <f ca="1">IF(AND(Limits!$Q$25=TRUE,Daten!N6=1)=TRUE,1,0)</f>
        <v>0</v>
      </c>
      <c r="H6" s="174">
        <f ca="1">IF(AND(Limits!$Q$24=TRUE,Daten!M6=1)=TRUE,1,0)</f>
        <v>0</v>
      </c>
      <c r="I6" s="174">
        <f ca="1">IF(AND(Limits!$Q$23=TRUE,Daten!L6=1)=TRUE,1,0)</f>
        <v>0</v>
      </c>
      <c r="J6" s="174">
        <f ca="1">IF(AND(Limits!$Q$22=TRUE,Daten!K6=1)=TRUE,1,0)</f>
        <v>0</v>
      </c>
      <c r="K6" s="188">
        <f ca="1">IF(Daten!$V6=13,1,0)</f>
        <v>0</v>
      </c>
      <c r="L6" s="189">
        <f ca="1">IF(Daten!$V6&lt;&gt;Daten!$W6,1,IF(Daten!$V6=14,1,0))</f>
        <v>0</v>
      </c>
      <c r="M6" s="189">
        <f ca="1">IF(Daten!$V6&lt;&gt;Daten!$W6,1,IF(Daten!$V6=16,1,0))</f>
        <v>0</v>
      </c>
      <c r="N6" s="189">
        <f ca="1">IF(Daten!$W6=17,1,0)</f>
        <v>0</v>
      </c>
      <c r="O6" s="190">
        <f ca="1">IF(Daten!$X6=Sprache!$A$70,1,0)</f>
        <v>1</v>
      </c>
      <c r="P6" s="198">
        <f>IF(AND(Daten!$AQ6&lt;=KINVARO!$AW$3,Daten!$AR6&gt;=KINVARO!$AW$3)=TRUE,1,0)</f>
        <v>1</v>
      </c>
      <c r="Q6" s="199">
        <f>IF(AND(Daten!$AA6&lt;=KINVARO!$AW$4,Daten!$AB6&gt;=KINVARO!$AW$4)=TRUE,1,0)</f>
        <v>0</v>
      </c>
      <c r="R6" s="199"/>
      <c r="S6" s="199">
        <f>IF(AND(Daten!$AD6&lt;=Limits!$I$70,Daten!$AE6&gt;=Limits!$I$70)=TRUE,1,0)</f>
        <v>0</v>
      </c>
      <c r="T6" s="200">
        <f ca="1">IF(Daten!$Y6=Sprache!$A$135,1,0)</f>
        <v>0</v>
      </c>
      <c r="U6" s="201" t="str">
        <f ca="1">Sprache!$A$60</f>
        <v>L-80 Вертикальный подъемник</v>
      </c>
      <c r="V6" s="202" t="str">
        <f ca="1">Sprache!$A$74</f>
        <v>var</v>
      </c>
      <c r="W6" s="200" t="str">
        <f ca="1">Sprache!$A$74</f>
        <v>var</v>
      </c>
      <c r="X6" s="203" t="str">
        <f ca="1">Sprache!$A$70</f>
        <v>соединение с древесиной</v>
      </c>
      <c r="Y6" s="187" t="str">
        <f ca="1">Sprache!$A$136</f>
        <v>nein</v>
      </c>
      <c r="Z6" s="203" t="str">
        <f ca="1">Sprache!$A$106</f>
        <v>Korpus</v>
      </c>
      <c r="AA6" s="203">
        <v>370</v>
      </c>
      <c r="AB6" s="201">
        <v>389</v>
      </c>
      <c r="AC6" s="203"/>
      <c r="AD6" s="204">
        <v>2.2999999999999998</v>
      </c>
      <c r="AE6" s="205">
        <v>6</v>
      </c>
      <c r="AF6" s="266" t="str">
        <f>MID(Tabelle2[[#This Row],[bnr full]],1,4)</f>
        <v>F152</v>
      </c>
      <c r="AG6" s="267" t="str">
        <f>MID(Tabelle2[[#This Row],[bnr full]],5,3)</f>
        <v>147</v>
      </c>
      <c r="AH6" s="268" t="str">
        <f>MID(Tabelle2[[#This Row],[bnr full]],8,3)</f>
        <v>440</v>
      </c>
      <c r="AI6" s="267" t="str">
        <f>MID(Tabelle2[[#This Row],[bnr full]],11,3)</f>
        <v>201</v>
      </c>
      <c r="AJ6" s="253" t="str">
        <f>MID(Tabelle2[[#This Row],[bnr full]],11,3)</f>
        <v>201</v>
      </c>
      <c r="AK6" s="206" t="s">
        <v>762</v>
      </c>
      <c r="AL6" s="201" t="str">
        <f ca="1">Sprache!$A$111</f>
        <v>Комплект (Л + П)</v>
      </c>
      <c r="AM6" s="203" t="str">
        <f ca="1">Sprache!$A$114</f>
        <v>Направляющий рычаг, тип 2</v>
      </c>
      <c r="AN6" s="203" t="str">
        <f ca="1">Sprache!$A$120</f>
        <v>Силовой механизм A</v>
      </c>
      <c r="AO6" s="203" t="s">
        <v>25</v>
      </c>
      <c r="AP6" s="203" t="s">
        <v>25</v>
      </c>
      <c r="AQ6" s="203">
        <v>450</v>
      </c>
      <c r="AR6" s="201">
        <v>1200</v>
      </c>
      <c r="AS6" s="187"/>
      <c r="AT6" s="124"/>
      <c r="AU6"/>
      <c r="AV6"/>
      <c r="AY6"/>
      <c r="AZ6"/>
      <c r="BA6"/>
      <c r="BB6"/>
      <c r="BC6"/>
    </row>
    <row r="7" spans="1:55" ht="15.75" hidden="1" thickBot="1" x14ac:dyDescent="0.3">
      <c r="A7" s="12" t="str">
        <f ca="1">IF(F7+G7+H7+I7+J7+D7+E7=3,IF(Tabelle2[[#This Row],[Kappe Weiß]]=Limits!$R$29,1,""),"")</f>
        <v/>
      </c>
      <c r="B7" s="12" t="str">
        <f ca="1">IF(G7+H7+I7+J7+E7+F7=2,IF(Tabelle2[[#This Row],[Kappe Weiß]]=Limits!$R$29,1,""),"")</f>
        <v/>
      </c>
      <c r="C7" s="291">
        <v>0</v>
      </c>
      <c r="D7" s="171">
        <f>IF(Limits!$P$4=TRUE,1,0)</f>
        <v>0</v>
      </c>
      <c r="E7" s="172">
        <f>IF(Daten!$P7+Daten!$Q7+Daten!$S7=3,1,0)</f>
        <v>0</v>
      </c>
      <c r="F7" s="173">
        <f ca="1">IF(AND(Limits!$Q$21=TRUE,Daten!O7=1)=TRUE,1,0)</f>
        <v>1</v>
      </c>
      <c r="G7" s="174">
        <f ca="1">IF(AND(Limits!$Q$25=TRUE,Daten!N7=1)=TRUE,1,0)</f>
        <v>0</v>
      </c>
      <c r="H7" s="174">
        <f ca="1">IF(AND(Limits!$Q$24=TRUE,Daten!M7=1)=TRUE,1,0)</f>
        <v>0</v>
      </c>
      <c r="I7" s="174">
        <f ca="1">IF(AND(Limits!$Q$23=TRUE,Daten!L7=1)=TRUE,1,0)</f>
        <v>0</v>
      </c>
      <c r="J7" s="174">
        <f ca="1">IF(AND(Limits!$Q$22=TRUE,Daten!K7=1)=TRUE,1,0)</f>
        <v>0</v>
      </c>
      <c r="K7" s="188">
        <f ca="1">IF(Daten!$V7=13,1,0)</f>
        <v>0</v>
      </c>
      <c r="L7" s="189">
        <f ca="1">IF(Daten!$V7&lt;&gt;Daten!$W7,1,IF(Daten!$V7=14,1,0))</f>
        <v>0</v>
      </c>
      <c r="M7" s="189">
        <f ca="1">IF(Daten!$V7&lt;&gt;Daten!$W7,1,IF(Daten!$V7=16,1,0))</f>
        <v>0</v>
      </c>
      <c r="N7" s="189">
        <f ca="1">IF(Daten!$W7=17,1,0)</f>
        <v>0</v>
      </c>
      <c r="O7" s="190">
        <f ca="1">IF(Daten!$X7=Sprache!$A$70,1,0)</f>
        <v>1</v>
      </c>
      <c r="P7" s="191">
        <f>IF(AND(Daten!$AQ7&lt;=KINVARO!$AW$3,Daten!$AR7&gt;=KINVARO!$AW$3)=TRUE,1,0)</f>
        <v>1</v>
      </c>
      <c r="Q7" s="192">
        <f>IF(AND(Daten!$AA7&lt;=KINVARO!$AW$4,Daten!$AB7&gt;=KINVARO!$AW$4)=TRUE,1,0)</f>
        <v>0</v>
      </c>
      <c r="R7" s="192"/>
      <c r="S7" s="192">
        <f>IF(AND(Daten!$AD7&lt;=Limits!$I$70,Daten!$AE7&gt;=Limits!$I$70)=TRUE,1,0)</f>
        <v>0</v>
      </c>
      <c r="T7" s="193">
        <f ca="1">IF(Daten!$Y7=Sprache!$A$135,1,0)</f>
        <v>0</v>
      </c>
      <c r="U7" s="124" t="str">
        <f ca="1">Sprache!$A$60</f>
        <v>L-80 Вертикальный подъемник</v>
      </c>
      <c r="V7" s="194" t="str">
        <f ca="1">Sprache!$A$74</f>
        <v>var</v>
      </c>
      <c r="W7" s="193" t="str">
        <f ca="1">Sprache!$A$74</f>
        <v>var</v>
      </c>
      <c r="X7" s="187" t="str">
        <f ca="1">Sprache!$A$70</f>
        <v>соединение с древесиной</v>
      </c>
      <c r="Y7" s="187" t="str">
        <f ca="1">Sprache!$A$136</f>
        <v>nein</v>
      </c>
      <c r="Z7" s="187" t="str">
        <f ca="1">Sprache!$A$106</f>
        <v>Korpus</v>
      </c>
      <c r="AA7" s="187">
        <v>370</v>
      </c>
      <c r="AB7" s="124">
        <v>389</v>
      </c>
      <c r="AC7" s="187"/>
      <c r="AD7" s="195">
        <v>5.5</v>
      </c>
      <c r="AE7" s="196">
        <v>9</v>
      </c>
      <c r="AF7" s="263" t="str">
        <f>MID(Tabelle2[[#This Row],[bnr full]],1,4)</f>
        <v>F152</v>
      </c>
      <c r="AG7" s="264" t="str">
        <f>MID(Tabelle2[[#This Row],[bnr full]],5,3)</f>
        <v>145</v>
      </c>
      <c r="AH7" s="265" t="str">
        <f>MID(Tabelle2[[#This Row],[bnr full]],8,3)</f>
        <v>249</v>
      </c>
      <c r="AI7" s="264" t="str">
        <f>MID(Tabelle2[[#This Row],[bnr full]],11,3)</f>
        <v>201</v>
      </c>
      <c r="AJ7" s="252" t="str">
        <f>MID(Tabelle2[[#This Row],[bnr full]],11,3)</f>
        <v>201</v>
      </c>
      <c r="AK7" s="197" t="s">
        <v>763</v>
      </c>
      <c r="AL7" s="124" t="str">
        <f ca="1">Sprache!$A$111</f>
        <v>Комплект (Л + П)</v>
      </c>
      <c r="AM7" s="187" t="str">
        <f ca="1">Sprache!$A$114</f>
        <v>Направляющий рычаг, тип 2</v>
      </c>
      <c r="AN7" s="187" t="str">
        <f ca="1">Sprache!$A$121</f>
        <v>Силовой механизм B</v>
      </c>
      <c r="AO7" s="187" t="s">
        <v>25</v>
      </c>
      <c r="AP7" s="187" t="s">
        <v>25</v>
      </c>
      <c r="AQ7" s="187">
        <v>450</v>
      </c>
      <c r="AR7" s="124">
        <v>1200</v>
      </c>
      <c r="AS7" s="187"/>
      <c r="AT7" s="124"/>
      <c r="AU7"/>
      <c r="AV7"/>
      <c r="AY7"/>
      <c r="AZ7"/>
      <c r="BA7"/>
      <c r="BB7"/>
      <c r="BC7"/>
    </row>
    <row r="8" spans="1:55" ht="15.75" hidden="1" thickBot="1" x14ac:dyDescent="0.3">
      <c r="A8" s="12" t="str">
        <f ca="1">IF(F8+G8+H8+I8+J8+D8+E8=3,IF(Tabelle2[[#This Row],[Kappe Weiß]]=Limits!$R$29,1,""),"")</f>
        <v/>
      </c>
      <c r="B8" s="12" t="str">
        <f ca="1">IF(G8+H8+I8+J8+E8+F8=2,IF(Tabelle2[[#This Row],[Kappe Weiß]]=Limits!$R$29,1,""),"")</f>
        <v/>
      </c>
      <c r="C8" s="291">
        <v>0</v>
      </c>
      <c r="D8" s="171">
        <f>IF(Limits!$P$4=TRUE,1,0)</f>
        <v>0</v>
      </c>
      <c r="E8" s="172">
        <f>IF(Daten!$P8+Daten!$Q8+Daten!$S8=3,1,0)</f>
        <v>0</v>
      </c>
      <c r="F8" s="173">
        <f ca="1">IF(AND(Limits!$Q$21=TRUE,Daten!O8=1)=TRUE,1,0)</f>
        <v>1</v>
      </c>
      <c r="G8" s="174">
        <f ca="1">IF(AND(Limits!$Q$25=TRUE,Daten!N8=1)=TRUE,1,0)</f>
        <v>0</v>
      </c>
      <c r="H8" s="174">
        <f ca="1">IF(AND(Limits!$Q$24=TRUE,Daten!M8=1)=TRUE,1,0)</f>
        <v>0</v>
      </c>
      <c r="I8" s="174">
        <f ca="1">IF(AND(Limits!$Q$23=TRUE,Daten!L8=1)=TRUE,1,0)</f>
        <v>0</v>
      </c>
      <c r="J8" s="174">
        <f ca="1">IF(AND(Limits!$Q$22=TRUE,Daten!K8=1)=TRUE,1,0)</f>
        <v>0</v>
      </c>
      <c r="K8" s="188">
        <f ca="1">IF(Daten!$V8=13,1,0)</f>
        <v>0</v>
      </c>
      <c r="L8" s="189">
        <f ca="1">IF(Daten!$V8&lt;&gt;Daten!$W8,1,IF(Daten!$V8=14,1,0))</f>
        <v>0</v>
      </c>
      <c r="M8" s="189">
        <f ca="1">IF(Daten!$V8&lt;&gt;Daten!$W8,1,IF(Daten!$V8=16,1,0))</f>
        <v>0</v>
      </c>
      <c r="N8" s="189">
        <f ca="1">IF(Daten!$W8=17,1,0)</f>
        <v>0</v>
      </c>
      <c r="O8" s="190">
        <f ca="1">IF(Daten!$X8=Sprache!$A$70,1,0)</f>
        <v>1</v>
      </c>
      <c r="P8" s="191">
        <f>IF(AND(Daten!$AQ8&lt;=KINVARO!$AW$3,Daten!$AR8&gt;=KINVARO!$AW$3)=TRUE,1,0)</f>
        <v>1</v>
      </c>
      <c r="Q8" s="192">
        <f>IF(AND(Daten!$AA8&lt;=KINVARO!$AW$4,Daten!$AB8&gt;=KINVARO!$AW$4)=TRUE,1,0)</f>
        <v>0</v>
      </c>
      <c r="R8" s="192"/>
      <c r="S8" s="192">
        <f>IF(AND(Daten!$AD8&lt;=Limits!$I$70,Daten!$AE8&gt;=Limits!$I$70)=TRUE,1,0)</f>
        <v>0</v>
      </c>
      <c r="T8" s="193">
        <f ca="1">IF(Daten!$Y8=Sprache!$A$135,1,0)</f>
        <v>0</v>
      </c>
      <c r="U8" s="124" t="str">
        <f ca="1">Sprache!$A$60</f>
        <v>L-80 Вертикальный подъемник</v>
      </c>
      <c r="V8" s="194" t="str">
        <f ca="1">Sprache!$A$74</f>
        <v>var</v>
      </c>
      <c r="W8" s="193" t="str">
        <f ca="1">Sprache!$A$74</f>
        <v>var</v>
      </c>
      <c r="X8" s="187" t="str">
        <f ca="1">Sprache!$A$70</f>
        <v>соединение с древесиной</v>
      </c>
      <c r="Y8" s="187" t="str">
        <f ca="1">Sprache!$A$136</f>
        <v>nein</v>
      </c>
      <c r="Z8" s="187" t="str">
        <f ca="1">Sprache!$A$106</f>
        <v>Korpus</v>
      </c>
      <c r="AA8" s="187">
        <v>370</v>
      </c>
      <c r="AB8" s="124">
        <v>389</v>
      </c>
      <c r="AC8" s="187"/>
      <c r="AD8" s="195">
        <v>8.5</v>
      </c>
      <c r="AE8" s="196">
        <v>9.6</v>
      </c>
      <c r="AF8" s="263" t="str">
        <f>MID(Tabelle2[[#This Row],[bnr full]],1,4)</f>
        <v>F152</v>
      </c>
      <c r="AG8" s="264" t="str">
        <f>MID(Tabelle2[[#This Row],[bnr full]],5,3)</f>
        <v>145</v>
      </c>
      <c r="AH8" s="265" t="str">
        <f>MID(Tabelle2[[#This Row],[bnr full]],8,3)</f>
        <v>250</v>
      </c>
      <c r="AI8" s="264" t="str">
        <f>MID(Tabelle2[[#This Row],[bnr full]],11,3)</f>
        <v>201</v>
      </c>
      <c r="AJ8" s="252" t="str">
        <f>MID(Tabelle2[[#This Row],[bnr full]],11,3)</f>
        <v>201</v>
      </c>
      <c r="AK8" s="197" t="s">
        <v>764</v>
      </c>
      <c r="AL8" s="124" t="str">
        <f ca="1">Sprache!$A$111</f>
        <v>Комплект (Л + П)</v>
      </c>
      <c r="AM8" s="187" t="str">
        <f ca="1">Sprache!$A$114</f>
        <v>Направляющий рычаг, тип 2</v>
      </c>
      <c r="AN8" s="187" t="str">
        <f ca="1">Sprache!$A$122</f>
        <v>Силовой механизм C</v>
      </c>
      <c r="AO8" s="187" t="s">
        <v>25</v>
      </c>
      <c r="AP8" s="187" t="s">
        <v>25</v>
      </c>
      <c r="AQ8" s="187">
        <v>450</v>
      </c>
      <c r="AR8" s="124">
        <v>1200</v>
      </c>
      <c r="AS8" s="187"/>
      <c r="AT8" s="124"/>
      <c r="AU8"/>
      <c r="AV8"/>
      <c r="AY8"/>
      <c r="AZ8"/>
      <c r="BA8"/>
      <c r="BB8"/>
      <c r="BC8"/>
    </row>
    <row r="9" spans="1:55" ht="15.75" hidden="1" thickBot="1" x14ac:dyDescent="0.3">
      <c r="A9" s="12" t="str">
        <f ca="1">IF(F9+G9+H9+I9+J9+D9+E9=3,IF(Tabelle2[[#This Row],[Kappe Weiß]]=Limits!$R$29,1,""),"")</f>
        <v/>
      </c>
      <c r="B9" s="12" t="str">
        <f ca="1">IF(G9+H9+I9+J9+E9+F9=2,IF(Tabelle2[[#This Row],[Kappe Weiß]]=Limits!$R$29,1,""),"")</f>
        <v/>
      </c>
      <c r="C9" s="291">
        <v>0</v>
      </c>
      <c r="D9" s="171">
        <f>IF(Limits!$P$4=TRUE,1,0)</f>
        <v>0</v>
      </c>
      <c r="E9" s="172">
        <f>IF(Daten!$P9+Daten!$Q9+Daten!$S9=3,1,0)</f>
        <v>0</v>
      </c>
      <c r="F9" s="173">
        <f ca="1">IF(AND(Limits!$Q$21=TRUE,Daten!O9=1)=TRUE,1,0)</f>
        <v>0</v>
      </c>
      <c r="G9" s="174">
        <f>IF(AND(Limits!$Q$25=TRUE,Daten!N9=1)=TRUE,1,0)</f>
        <v>0</v>
      </c>
      <c r="H9" s="174">
        <f>IF(AND(Limits!$Q$24=TRUE,Daten!M9=1)=TRUE,1,0)</f>
        <v>0</v>
      </c>
      <c r="I9" s="174">
        <f>IF(AND(Limits!$Q$23=TRUE,Daten!L9=1)=TRUE,1,0)</f>
        <v>0</v>
      </c>
      <c r="J9" s="174">
        <f>IF(AND(Limits!$Q$22=TRUE,Daten!K9=1)=TRUE,1,0)</f>
        <v>0</v>
      </c>
      <c r="K9" s="188">
        <f>IF(Daten!$V9=13,1,0)</f>
        <v>1</v>
      </c>
      <c r="L9" s="189">
        <f>IF(Daten!$V9&lt;&gt;Daten!$W9,1,IF(Daten!$V9=14,1,0))</f>
        <v>1</v>
      </c>
      <c r="M9" s="189">
        <f>IF(Daten!$V9&lt;&gt;Daten!$W9,1,IF(Daten!$V9=16,1,0))</f>
        <v>1</v>
      </c>
      <c r="N9" s="189">
        <f>IF(Daten!$W9=17,1,0)</f>
        <v>1</v>
      </c>
      <c r="O9" s="190">
        <f ca="1">IF(Daten!$X9=Sprache!$A$70,1,0)</f>
        <v>0</v>
      </c>
      <c r="P9" s="191">
        <f>IF(AND(Daten!$AQ9&lt;=KINVARO!$AW$3,Daten!$AR9&gt;=KINVARO!$AW$3)=TRUE,1,0)</f>
        <v>1</v>
      </c>
      <c r="Q9" s="192">
        <f>IF(AND(Daten!$AA9&lt;=KINVARO!$AW$4,Daten!$AB9&gt;=KINVARO!$AW$4)=TRUE,1,0)</f>
        <v>0</v>
      </c>
      <c r="R9" s="192"/>
      <c r="S9" s="192">
        <f>IF(AND(Daten!$AD9&lt;=Limits!$I$70,Daten!$AE9&gt;=Limits!$I$70)=TRUE,1,0)</f>
        <v>0</v>
      </c>
      <c r="T9" s="193">
        <f ca="1">IF(Daten!$Y9=Sprache!$A$135,1,0)</f>
        <v>0</v>
      </c>
      <c r="U9" s="124" t="str">
        <f ca="1">Sprache!$A$60</f>
        <v>L-80 Вертикальный подъемник</v>
      </c>
      <c r="V9" s="194">
        <v>13</v>
      </c>
      <c r="W9" s="193">
        <v>17</v>
      </c>
      <c r="X9" s="187" t="str">
        <f ca="1">Sprache!$A$141</f>
        <v>Alu</v>
      </c>
      <c r="Y9" s="187" t="str">
        <f ca="1">Sprache!$A$136</f>
        <v>nein</v>
      </c>
      <c r="Z9" s="187" t="str">
        <f ca="1">Sprache!$A$106</f>
        <v>Korpus</v>
      </c>
      <c r="AA9" s="187">
        <v>370</v>
      </c>
      <c r="AB9" s="124">
        <v>389</v>
      </c>
      <c r="AC9" s="187"/>
      <c r="AD9" s="195">
        <v>2.2999999999999998</v>
      </c>
      <c r="AE9" s="196">
        <v>6</v>
      </c>
      <c r="AF9" s="263" t="str">
        <f>MID(Tabelle2[[#This Row],[bnr full]],1,4)</f>
        <v>F152</v>
      </c>
      <c r="AG9" s="264" t="str">
        <f>MID(Tabelle2[[#This Row],[bnr full]],5,3)</f>
        <v>147</v>
      </c>
      <c r="AH9" s="265" t="str">
        <f>MID(Tabelle2[[#This Row],[bnr full]],8,3)</f>
        <v>440</v>
      </c>
      <c r="AI9" s="264" t="str">
        <f>MID(Tabelle2[[#This Row],[bnr full]],11,3)</f>
        <v>201</v>
      </c>
      <c r="AJ9" s="252" t="str">
        <f>MID(Tabelle2[[#This Row],[bnr full]],11,3)</f>
        <v>201</v>
      </c>
      <c r="AK9" s="197" t="s">
        <v>762</v>
      </c>
      <c r="AL9" s="124" t="str">
        <f ca="1">Sprache!$A$111</f>
        <v>Комплект (Л + П)</v>
      </c>
      <c r="AM9" s="187" t="str">
        <f ca="1">Sprache!$A$114</f>
        <v>Направляющий рычаг, тип 2</v>
      </c>
      <c r="AN9" s="187" t="str">
        <f ca="1">Sprache!$A$120</f>
        <v>Силовой механизм A</v>
      </c>
      <c r="AO9" s="187" t="str">
        <f ca="1">Sprache!$A$143</f>
        <v>Адаптер под алюминиевые рамки к комплекту Kinvaro L-80</v>
      </c>
      <c r="AP9" s="187" t="s">
        <v>814</v>
      </c>
      <c r="AQ9" s="187">
        <v>450</v>
      </c>
      <c r="AR9" s="124">
        <v>1200</v>
      </c>
      <c r="AS9" s="187"/>
      <c r="AT9" s="124"/>
      <c r="AU9"/>
      <c r="AV9"/>
      <c r="AY9"/>
      <c r="AZ9"/>
      <c r="BA9"/>
      <c r="BB9"/>
      <c r="BC9"/>
    </row>
    <row r="10" spans="1:55" ht="15.75" hidden="1" thickBot="1" x14ac:dyDescent="0.3">
      <c r="A10" s="12" t="str">
        <f ca="1">IF(F10+G10+H10+I10+J10+D10+E10=3,IF(Tabelle2[[#This Row],[Kappe Weiß]]=Limits!$R$29,1,""),"")</f>
        <v/>
      </c>
      <c r="B10" s="12" t="str">
        <f ca="1">IF(G10+H10+I10+J10+E10+F10=2,IF(Tabelle2[[#This Row],[Kappe Weiß]]=Limits!$R$29,1,""),"")</f>
        <v/>
      </c>
      <c r="C10" s="291">
        <v>0</v>
      </c>
      <c r="D10" s="171">
        <f>IF(Limits!$P$4=TRUE,1,0)</f>
        <v>0</v>
      </c>
      <c r="E10" s="172">
        <f>IF(Daten!$P10+Daten!$Q10+Daten!$S10=3,1,0)</f>
        <v>0</v>
      </c>
      <c r="F10" s="173">
        <f ca="1">IF(AND(Limits!$Q$21=TRUE,Daten!O10=1)=TRUE,1,0)</f>
        <v>0</v>
      </c>
      <c r="G10" s="174">
        <f>IF(AND(Limits!$Q$25=TRUE,Daten!N10=1)=TRUE,1,0)</f>
        <v>0</v>
      </c>
      <c r="H10" s="174">
        <f>IF(AND(Limits!$Q$24=TRUE,Daten!M10=1)=TRUE,1,0)</f>
        <v>0</v>
      </c>
      <c r="I10" s="174">
        <f>IF(AND(Limits!$Q$23=TRUE,Daten!L10=1)=TRUE,1,0)</f>
        <v>0</v>
      </c>
      <c r="J10" s="174">
        <f>IF(AND(Limits!$Q$22=TRUE,Daten!K10=1)=TRUE,1,0)</f>
        <v>0</v>
      </c>
      <c r="K10" s="188">
        <f>IF(Daten!$V10=13,1,0)</f>
        <v>1</v>
      </c>
      <c r="L10" s="189">
        <f>IF(Daten!$V10&lt;&gt;Daten!$W10,1,IF(Daten!$V10=14,1,0))</f>
        <v>1</v>
      </c>
      <c r="M10" s="189">
        <f>IF(Daten!$V10&lt;&gt;Daten!$W10,1,IF(Daten!$V10=16,1,0))</f>
        <v>1</v>
      </c>
      <c r="N10" s="189">
        <f>IF(Daten!$W10=17,1,0)</f>
        <v>1</v>
      </c>
      <c r="O10" s="190">
        <f ca="1">IF(Daten!$X10=Sprache!$A$70,1,0)</f>
        <v>0</v>
      </c>
      <c r="P10" s="191">
        <f>IF(AND(Daten!$AQ10&lt;=KINVARO!$AW$3,Daten!$AR10&gt;=KINVARO!$AW$3)=TRUE,1,0)</f>
        <v>1</v>
      </c>
      <c r="Q10" s="192">
        <f>IF(AND(Daten!$AA10&lt;=KINVARO!$AW$4,Daten!$AB10&gt;=KINVARO!$AW$4)=TRUE,1,0)</f>
        <v>0</v>
      </c>
      <c r="R10" s="192"/>
      <c r="S10" s="192">
        <f>IF(AND(Daten!$AD10&lt;=Limits!$I$70,Daten!$AE10&gt;=Limits!$I$70)=TRUE,1,0)</f>
        <v>0</v>
      </c>
      <c r="T10" s="193">
        <f ca="1">IF(Daten!$Y10=Sprache!$A$135,1,0)</f>
        <v>0</v>
      </c>
      <c r="U10" s="124" t="str">
        <f ca="1">Sprache!$A$60</f>
        <v>L-80 Вертикальный подъемник</v>
      </c>
      <c r="V10" s="194">
        <v>13</v>
      </c>
      <c r="W10" s="193">
        <v>17</v>
      </c>
      <c r="X10" s="187" t="str">
        <f ca="1">Sprache!$A$141</f>
        <v>Alu</v>
      </c>
      <c r="Y10" s="187" t="str">
        <f ca="1">Sprache!$A$136</f>
        <v>nein</v>
      </c>
      <c r="Z10" s="187" t="str">
        <f ca="1">Sprache!$A$106</f>
        <v>Korpus</v>
      </c>
      <c r="AA10" s="187">
        <v>370</v>
      </c>
      <c r="AB10" s="124">
        <v>389</v>
      </c>
      <c r="AC10" s="187"/>
      <c r="AD10" s="195">
        <v>5.5</v>
      </c>
      <c r="AE10" s="196">
        <v>9</v>
      </c>
      <c r="AF10" s="263" t="str">
        <f>MID(Tabelle2[[#This Row],[bnr full]],1,4)</f>
        <v>F152</v>
      </c>
      <c r="AG10" s="264" t="str">
        <f>MID(Tabelle2[[#This Row],[bnr full]],5,3)</f>
        <v>145</v>
      </c>
      <c r="AH10" s="265" t="str">
        <f>MID(Tabelle2[[#This Row],[bnr full]],8,3)</f>
        <v>249</v>
      </c>
      <c r="AI10" s="264" t="str">
        <f>MID(Tabelle2[[#This Row],[bnr full]],11,3)</f>
        <v>201</v>
      </c>
      <c r="AJ10" s="252" t="str">
        <f>MID(Tabelle2[[#This Row],[bnr full]],11,3)</f>
        <v>201</v>
      </c>
      <c r="AK10" s="197" t="s">
        <v>763</v>
      </c>
      <c r="AL10" s="124" t="str">
        <f ca="1">Sprache!$A$111</f>
        <v>Комплект (Л + П)</v>
      </c>
      <c r="AM10" s="187" t="str">
        <f ca="1">Sprache!$A$114</f>
        <v>Направляющий рычаг, тип 2</v>
      </c>
      <c r="AN10" s="187" t="str">
        <f ca="1">Sprache!$A$121</f>
        <v>Силовой механизм B</v>
      </c>
      <c r="AO10" s="187" t="str">
        <f ca="1">Sprache!$A$143</f>
        <v>Адаптер под алюминиевые рамки к комплекту Kinvaro L-80</v>
      </c>
      <c r="AP10" s="187" t="s">
        <v>814</v>
      </c>
      <c r="AQ10" s="187">
        <v>450</v>
      </c>
      <c r="AR10" s="124">
        <v>1200</v>
      </c>
      <c r="AS10" s="187"/>
      <c r="AT10" s="124"/>
      <c r="AU10"/>
      <c r="AV10"/>
      <c r="AY10"/>
      <c r="AZ10"/>
      <c r="BA10"/>
      <c r="BB10"/>
      <c r="BC10"/>
    </row>
    <row r="11" spans="1:55" s="5" customFormat="1" ht="15.75" hidden="1" thickBot="1" x14ac:dyDescent="0.3">
      <c r="A11" s="12" t="str">
        <f ca="1">IF(F11+G11+H11+I11+J11+D11+E11=3,IF(Tabelle2[[#This Row],[Kappe Weiß]]=Limits!$R$29,1,""),"")</f>
        <v/>
      </c>
      <c r="B11" s="12" t="str">
        <f ca="1">IF(G11+H11+I11+J11+E11+F11=2,IF(Tabelle2[[#This Row],[Kappe Weiß]]=Limits!$R$29,1,""),"")</f>
        <v/>
      </c>
      <c r="C11" s="291">
        <v>0</v>
      </c>
      <c r="D11" s="171">
        <f>IF(Limits!$P$4=TRUE,1,0)</f>
        <v>0</v>
      </c>
      <c r="E11" s="172">
        <f>IF(Daten!$P11+Daten!$Q11+Daten!$S11=3,1,0)</f>
        <v>0</v>
      </c>
      <c r="F11" s="173">
        <f ca="1">IF(AND(Limits!$Q$21=TRUE,Daten!O11=1)=TRUE,1,0)</f>
        <v>0</v>
      </c>
      <c r="G11" s="174">
        <f>IF(AND(Limits!$Q$25=TRUE,Daten!N11=1)=TRUE,1,0)</f>
        <v>0</v>
      </c>
      <c r="H11" s="174">
        <f>IF(AND(Limits!$Q$24=TRUE,Daten!M11=1)=TRUE,1,0)</f>
        <v>0</v>
      </c>
      <c r="I11" s="174">
        <f>IF(AND(Limits!$Q$23=TRUE,Daten!L11=1)=TRUE,1,0)</f>
        <v>0</v>
      </c>
      <c r="J11" s="174">
        <f>IF(AND(Limits!$Q$22=TRUE,Daten!K11=1)=TRUE,1,0)</f>
        <v>0</v>
      </c>
      <c r="K11" s="188">
        <f>IF(Daten!$V11=13,1,0)</f>
        <v>1</v>
      </c>
      <c r="L11" s="189">
        <f>IF(Daten!$V11&lt;&gt;Daten!$W11,1,IF(Daten!$V11=14,1,0))</f>
        <v>1</v>
      </c>
      <c r="M11" s="189">
        <f>IF(Daten!$V11&lt;&gt;Daten!$W11,1,IF(Daten!$V11=16,1,0))</f>
        <v>1</v>
      </c>
      <c r="N11" s="189">
        <f>IF(Daten!$W11=17,1,0)</f>
        <v>1</v>
      </c>
      <c r="O11" s="190">
        <f ca="1">IF(Daten!$X11=Sprache!$A$70,1,0)</f>
        <v>0</v>
      </c>
      <c r="P11" s="191">
        <f>IF(AND(Daten!$AQ11&lt;=KINVARO!$AW$3,Daten!$AR11&gt;=KINVARO!$AW$3)=TRUE,1,0)</f>
        <v>1</v>
      </c>
      <c r="Q11" s="192">
        <f>IF(AND(Daten!$AA11&lt;=KINVARO!$AW$4,Daten!$AB11&gt;=KINVARO!$AW$4)=TRUE,1,0)</f>
        <v>0</v>
      </c>
      <c r="R11" s="192"/>
      <c r="S11" s="192">
        <f>IF(AND(Daten!$AD11&lt;=Limits!$I$70,Daten!$AE11&gt;=Limits!$I$70)=TRUE,1,0)</f>
        <v>0</v>
      </c>
      <c r="T11" s="193">
        <f ca="1">IF(Daten!$Y11=Sprache!$A$135,1,0)</f>
        <v>0</v>
      </c>
      <c r="U11" s="124" t="str">
        <f ca="1">Sprache!$A$60</f>
        <v>L-80 Вертикальный подъемник</v>
      </c>
      <c r="V11" s="194">
        <v>13</v>
      </c>
      <c r="W11" s="193">
        <v>17</v>
      </c>
      <c r="X11" s="187" t="str">
        <f ca="1">Sprache!$A$141</f>
        <v>Alu</v>
      </c>
      <c r="Y11" s="187" t="str">
        <f ca="1">Sprache!$A$136</f>
        <v>nein</v>
      </c>
      <c r="Z11" s="187" t="str">
        <f ca="1">Sprache!$A$106</f>
        <v>Korpus</v>
      </c>
      <c r="AA11" s="187">
        <v>370</v>
      </c>
      <c r="AB11" s="124">
        <v>389</v>
      </c>
      <c r="AC11" s="187"/>
      <c r="AD11" s="195">
        <v>8.5</v>
      </c>
      <c r="AE11" s="196">
        <v>9.6</v>
      </c>
      <c r="AF11" s="263" t="str">
        <f>MID(Tabelle2[[#This Row],[bnr full]],1,4)</f>
        <v>F152</v>
      </c>
      <c r="AG11" s="264" t="str">
        <f>MID(Tabelle2[[#This Row],[bnr full]],5,3)</f>
        <v>145</v>
      </c>
      <c r="AH11" s="265" t="str">
        <f>MID(Tabelle2[[#This Row],[bnr full]],8,3)</f>
        <v>250</v>
      </c>
      <c r="AI11" s="264" t="str">
        <f>MID(Tabelle2[[#This Row],[bnr full]],11,3)</f>
        <v>201</v>
      </c>
      <c r="AJ11" s="252" t="str">
        <f>MID(Tabelle2[[#This Row],[bnr full]],11,3)</f>
        <v>201</v>
      </c>
      <c r="AK11" s="197" t="s">
        <v>764</v>
      </c>
      <c r="AL11" s="124" t="str">
        <f ca="1">Sprache!$A$111</f>
        <v>Комплект (Л + П)</v>
      </c>
      <c r="AM11" s="187" t="str">
        <f ca="1">Sprache!$A$114</f>
        <v>Направляющий рычаг, тип 2</v>
      </c>
      <c r="AN11" s="187" t="str">
        <f ca="1">Sprache!$A$122</f>
        <v>Силовой механизм C</v>
      </c>
      <c r="AO11" s="187" t="str">
        <f ca="1">Sprache!$A$143</f>
        <v>Адаптер под алюминиевые рамки к комплекту Kinvaro L-80</v>
      </c>
      <c r="AP11" s="187" t="s">
        <v>814</v>
      </c>
      <c r="AQ11" s="187">
        <v>450</v>
      </c>
      <c r="AR11" s="124">
        <v>1200</v>
      </c>
      <c r="AS11" s="187"/>
      <c r="AT11" s="124"/>
    </row>
    <row r="12" spans="1:55" ht="15.75" hidden="1" thickBot="1" x14ac:dyDescent="0.3">
      <c r="A12" s="12" t="str">
        <f ca="1">IF(F12+G12+H12+I12+J12+D12+E12=3,IF(Tabelle2[[#This Row],[Kappe Weiß]]=Limits!$R$29,1,""),"")</f>
        <v/>
      </c>
      <c r="B12" s="12" t="str">
        <f ca="1">IF(G12+H12+I12+J12+E12+F12=2,IF(Tabelle2[[#This Row],[Kappe Weiß]]=Limits!$R$29,1,""),"")</f>
        <v/>
      </c>
      <c r="C12" s="292">
        <v>0</v>
      </c>
      <c r="D12" s="171">
        <f>IF(Limits!$P$4=TRUE,1,0)</f>
        <v>0</v>
      </c>
      <c r="E12" s="172">
        <f>IF(Daten!$P12+Daten!$Q12+Daten!$S12=3,1,0)</f>
        <v>0</v>
      </c>
      <c r="F12" s="173">
        <f ca="1">IF(AND(Limits!$Q$21=TRUE,Daten!O12=1)=TRUE,1,0)</f>
        <v>1</v>
      </c>
      <c r="G12" s="174">
        <f ca="1">IF(AND(Limits!$Q$25=TRUE,Daten!N12=1)=TRUE,1,0)</f>
        <v>0</v>
      </c>
      <c r="H12" s="174">
        <f ca="1">IF(AND(Limits!$Q$24=TRUE,Daten!M12=1)=TRUE,1,0)</f>
        <v>0</v>
      </c>
      <c r="I12" s="174">
        <f ca="1">IF(AND(Limits!$Q$23=TRUE,Daten!L12=1)=TRUE,1,0)</f>
        <v>0</v>
      </c>
      <c r="J12" s="174">
        <f ca="1">IF(AND(Limits!$Q$22=TRUE,Daten!K12=1)=TRUE,1,0)</f>
        <v>0</v>
      </c>
      <c r="K12" s="188">
        <f ca="1">IF(Daten!$V12=13,1,0)</f>
        <v>0</v>
      </c>
      <c r="L12" s="189">
        <f ca="1">IF(Daten!$V12&lt;&gt;Daten!$W12,1,IF(Daten!$V12=14,1,0))</f>
        <v>0</v>
      </c>
      <c r="M12" s="189">
        <f ca="1">IF(Daten!$V12&lt;&gt;Daten!$W12,1,IF(Daten!$V12=16,1,0))</f>
        <v>0</v>
      </c>
      <c r="N12" s="189">
        <f ca="1">IF(Daten!$W12=17,1,0)</f>
        <v>0</v>
      </c>
      <c r="O12" s="190">
        <f ca="1">IF(Daten!$X12=Sprache!$A$70,1,0)</f>
        <v>1</v>
      </c>
      <c r="P12" s="198">
        <f>IF(AND(Daten!$AQ12&lt;=KINVARO!$AW$3,Daten!$AR12&gt;=KINVARO!$AW$3)=TRUE,1,0)</f>
        <v>1</v>
      </c>
      <c r="Q12" s="199">
        <f>IF(AND(Daten!$AA12&lt;=KINVARO!$AW$4,Daten!$AB12&gt;=KINVARO!$AW$4)=TRUE,1,0)</f>
        <v>0</v>
      </c>
      <c r="R12" s="199"/>
      <c r="S12" s="199">
        <f>IF(AND(Daten!$AD12&lt;=Limits!$I$70,Daten!$AE12&gt;=Limits!$I$70)=TRUE,1,0)</f>
        <v>0</v>
      </c>
      <c r="T12" s="200">
        <f ca="1">IF(Daten!$Y12=Sprache!$A$135,1,0)</f>
        <v>0</v>
      </c>
      <c r="U12" s="201" t="str">
        <f ca="1">Sprache!$A$60</f>
        <v>L-80 Вертикальный подъемник</v>
      </c>
      <c r="V12" s="202" t="str">
        <f ca="1">Sprache!$A$74</f>
        <v>var</v>
      </c>
      <c r="W12" s="200" t="str">
        <f ca="1">Sprache!$A$74</f>
        <v>var</v>
      </c>
      <c r="X12" s="203" t="str">
        <f ca="1">Sprache!$A$70</f>
        <v>соединение с древесиной</v>
      </c>
      <c r="Y12" s="187" t="str">
        <f ca="1">Sprache!$A$136</f>
        <v>nein</v>
      </c>
      <c r="Z12" s="203" t="str">
        <f ca="1">Sprache!$A$106</f>
        <v>Korpus</v>
      </c>
      <c r="AA12" s="203">
        <v>390</v>
      </c>
      <c r="AB12" s="201">
        <v>409</v>
      </c>
      <c r="AC12" s="203"/>
      <c r="AD12" s="204">
        <v>2.1</v>
      </c>
      <c r="AE12" s="205">
        <v>5.5</v>
      </c>
      <c r="AF12" s="266" t="str">
        <f>MID(Tabelle2[[#This Row],[bnr full]],1,4)</f>
        <v>F152</v>
      </c>
      <c r="AG12" s="267" t="str">
        <f>MID(Tabelle2[[#This Row],[bnr full]],5,3)</f>
        <v>147</v>
      </c>
      <c r="AH12" s="268" t="str">
        <f>MID(Tabelle2[[#This Row],[bnr full]],8,3)</f>
        <v>441</v>
      </c>
      <c r="AI12" s="267" t="str">
        <f>MID(Tabelle2[[#This Row],[bnr full]],11,3)</f>
        <v>201</v>
      </c>
      <c r="AJ12" s="253" t="str">
        <f>MID(Tabelle2[[#This Row],[bnr full]],11,3)</f>
        <v>201</v>
      </c>
      <c r="AK12" s="206" t="s">
        <v>765</v>
      </c>
      <c r="AL12" s="201" t="str">
        <f ca="1">Sprache!$A$111</f>
        <v>Комплект (Л + П)</v>
      </c>
      <c r="AM12" s="203" t="str">
        <f ca="1">Sprache!$A$115</f>
        <v>Направляющий рычаг, тип 3</v>
      </c>
      <c r="AN12" s="203" t="str">
        <f ca="1">Sprache!$A$120</f>
        <v>Силовой механизм A</v>
      </c>
      <c r="AO12" s="203" t="s">
        <v>25</v>
      </c>
      <c r="AP12" s="203" t="s">
        <v>25</v>
      </c>
      <c r="AQ12" s="203">
        <v>450</v>
      </c>
      <c r="AR12" s="201">
        <v>1200</v>
      </c>
      <c r="AS12" s="187"/>
      <c r="AT12" s="124"/>
      <c r="AU12"/>
      <c r="AV12"/>
      <c r="AY12"/>
      <c r="AZ12"/>
      <c r="BA12"/>
      <c r="BB12"/>
      <c r="BC12"/>
    </row>
    <row r="13" spans="1:55" ht="15.75" hidden="1" thickBot="1" x14ac:dyDescent="0.3">
      <c r="A13" s="12" t="str">
        <f ca="1">IF(F13+G13+H13+I13+J13+D13+E13=3,IF(Tabelle2[[#This Row],[Kappe Weiß]]=Limits!$R$29,1,""),"")</f>
        <v/>
      </c>
      <c r="B13" s="12" t="str">
        <f ca="1">IF(G13+H13+I13+J13+E13+F13=2,IF(Tabelle2[[#This Row],[Kappe Weiß]]=Limits!$R$29,1,""),"")</f>
        <v/>
      </c>
      <c r="C13" s="291">
        <v>0</v>
      </c>
      <c r="D13" s="171">
        <f>IF(Limits!$P$4=TRUE,1,0)</f>
        <v>0</v>
      </c>
      <c r="E13" s="172">
        <f>IF(Daten!$P13+Daten!$Q13+Daten!$S13=3,1,0)</f>
        <v>0</v>
      </c>
      <c r="F13" s="173">
        <f ca="1">IF(AND(Limits!$Q$21=TRUE,Daten!O13=1)=TRUE,1,0)</f>
        <v>1</v>
      </c>
      <c r="G13" s="174">
        <f ca="1">IF(AND(Limits!$Q$25=TRUE,Daten!N13=1)=TRUE,1,0)</f>
        <v>0</v>
      </c>
      <c r="H13" s="174">
        <f ca="1">IF(AND(Limits!$Q$24=TRUE,Daten!M13=1)=TRUE,1,0)</f>
        <v>0</v>
      </c>
      <c r="I13" s="174">
        <f ca="1">IF(AND(Limits!$Q$23=TRUE,Daten!L13=1)=TRUE,1,0)</f>
        <v>0</v>
      </c>
      <c r="J13" s="174">
        <f ca="1">IF(AND(Limits!$Q$22=TRUE,Daten!K13=1)=TRUE,1,0)</f>
        <v>0</v>
      </c>
      <c r="K13" s="188">
        <f ca="1">IF(Daten!$V13=13,1,0)</f>
        <v>0</v>
      </c>
      <c r="L13" s="189">
        <f ca="1">IF(Daten!$V13&lt;&gt;Daten!$W13,1,IF(Daten!$V13=14,1,0))</f>
        <v>0</v>
      </c>
      <c r="M13" s="189">
        <f ca="1">IF(Daten!$V13&lt;&gt;Daten!$W13,1,IF(Daten!$V13=16,1,0))</f>
        <v>0</v>
      </c>
      <c r="N13" s="189">
        <f ca="1">IF(Daten!$W13=17,1,0)</f>
        <v>0</v>
      </c>
      <c r="O13" s="190">
        <f ca="1">IF(Daten!$X13=Sprache!$A$70,1,0)</f>
        <v>1</v>
      </c>
      <c r="P13" s="191">
        <f>IF(AND(Daten!$AQ13&lt;=KINVARO!$AW$3,Daten!$AR13&gt;=KINVARO!$AW$3)=TRUE,1,0)</f>
        <v>1</v>
      </c>
      <c r="Q13" s="192">
        <f>IF(AND(Daten!$AA13&lt;=KINVARO!$AW$4,Daten!$AB13&gt;=KINVARO!$AW$4)=TRUE,1,0)</f>
        <v>0</v>
      </c>
      <c r="R13" s="192"/>
      <c r="S13" s="192">
        <f>IF(AND(Daten!$AD13&lt;=Limits!$I$70,Daten!$AE13&gt;=Limits!$I$70)=TRUE,1,0)</f>
        <v>0</v>
      </c>
      <c r="T13" s="193">
        <f ca="1">IF(Daten!$Y13=Sprache!$A$135,1,0)</f>
        <v>0</v>
      </c>
      <c r="U13" s="124" t="str">
        <f ca="1">Sprache!$A$60</f>
        <v>L-80 Вертикальный подъемник</v>
      </c>
      <c r="V13" s="194" t="str">
        <f ca="1">Sprache!$A$74</f>
        <v>var</v>
      </c>
      <c r="W13" s="193" t="str">
        <f ca="1">Sprache!$A$74</f>
        <v>var</v>
      </c>
      <c r="X13" s="187" t="str">
        <f ca="1">Sprache!$A$70</f>
        <v>соединение с древесиной</v>
      </c>
      <c r="Y13" s="187" t="str">
        <f ca="1">Sprache!$A$136</f>
        <v>nein</v>
      </c>
      <c r="Z13" s="187" t="str">
        <f ca="1">Sprache!$A$106</f>
        <v>Korpus</v>
      </c>
      <c r="AA13" s="187">
        <v>390</v>
      </c>
      <c r="AB13" s="124">
        <v>409</v>
      </c>
      <c r="AC13" s="187"/>
      <c r="AD13" s="195">
        <v>5</v>
      </c>
      <c r="AE13" s="196">
        <v>8.5</v>
      </c>
      <c r="AF13" s="263" t="str">
        <f>MID(Tabelle2[[#This Row],[bnr full]],1,4)</f>
        <v>F152</v>
      </c>
      <c r="AG13" s="264" t="str">
        <f>MID(Tabelle2[[#This Row],[bnr full]],5,3)</f>
        <v>145</v>
      </c>
      <c r="AH13" s="265" t="str">
        <f>MID(Tabelle2[[#This Row],[bnr full]],8,3)</f>
        <v>251</v>
      </c>
      <c r="AI13" s="264" t="str">
        <f>MID(Tabelle2[[#This Row],[bnr full]],11,3)</f>
        <v>201</v>
      </c>
      <c r="AJ13" s="252" t="str">
        <f>MID(Tabelle2[[#This Row],[bnr full]],11,3)</f>
        <v>201</v>
      </c>
      <c r="AK13" s="197" t="s">
        <v>766</v>
      </c>
      <c r="AL13" s="124" t="str">
        <f ca="1">Sprache!$A$111</f>
        <v>Комплект (Л + П)</v>
      </c>
      <c r="AM13" s="187" t="str">
        <f ca="1">Sprache!$A$115</f>
        <v>Направляющий рычаг, тип 3</v>
      </c>
      <c r="AN13" s="187" t="str">
        <f ca="1">Sprache!$A$121</f>
        <v>Силовой механизм B</v>
      </c>
      <c r="AO13" s="187" t="s">
        <v>25</v>
      </c>
      <c r="AP13" s="187" t="s">
        <v>25</v>
      </c>
      <c r="AQ13" s="187">
        <v>450</v>
      </c>
      <c r="AR13" s="124">
        <v>1200</v>
      </c>
      <c r="AS13" s="187"/>
      <c r="AT13" s="124"/>
      <c r="AU13"/>
      <c r="AV13"/>
      <c r="AY13"/>
      <c r="AZ13"/>
      <c r="BA13"/>
      <c r="BB13"/>
      <c r="BC13"/>
    </row>
    <row r="14" spans="1:55" ht="15.75" hidden="1" thickBot="1" x14ac:dyDescent="0.3">
      <c r="A14" s="12" t="str">
        <f ca="1">IF(F14+G14+H14+I14+J14+D14+E14=3,IF(Tabelle2[[#This Row],[Kappe Weiß]]=Limits!$R$29,1,""),"")</f>
        <v/>
      </c>
      <c r="B14" s="12" t="str">
        <f ca="1">IF(G14+H14+I14+J14+E14+F14=2,IF(Tabelle2[[#This Row],[Kappe Weiß]]=Limits!$R$29,1,""),"")</f>
        <v/>
      </c>
      <c r="C14" s="291">
        <v>0</v>
      </c>
      <c r="D14" s="171">
        <f>IF(Limits!$P$4=TRUE,1,0)</f>
        <v>0</v>
      </c>
      <c r="E14" s="172">
        <f>IF(Daten!$P14+Daten!$Q14+Daten!$S14=3,1,0)</f>
        <v>0</v>
      </c>
      <c r="F14" s="173">
        <f ca="1">IF(AND(Limits!$Q$21=TRUE,Daten!O14=1)=TRUE,1,0)</f>
        <v>1</v>
      </c>
      <c r="G14" s="174">
        <f ca="1">IF(AND(Limits!$Q$25=TRUE,Daten!N14=1)=TRUE,1,0)</f>
        <v>0</v>
      </c>
      <c r="H14" s="174">
        <f ca="1">IF(AND(Limits!$Q$24=TRUE,Daten!M14=1)=TRUE,1,0)</f>
        <v>0</v>
      </c>
      <c r="I14" s="174">
        <f ca="1">IF(AND(Limits!$Q$23=TRUE,Daten!L14=1)=TRUE,1,0)</f>
        <v>0</v>
      </c>
      <c r="J14" s="174">
        <f ca="1">IF(AND(Limits!$Q$22=TRUE,Daten!K14=1)=TRUE,1,0)</f>
        <v>0</v>
      </c>
      <c r="K14" s="188">
        <f ca="1">IF(Daten!$V14=13,1,0)</f>
        <v>0</v>
      </c>
      <c r="L14" s="189">
        <f ca="1">IF(Daten!$V14&lt;&gt;Daten!$W14,1,IF(Daten!$V14=14,1,0))</f>
        <v>0</v>
      </c>
      <c r="M14" s="189">
        <f ca="1">IF(Daten!$V14&lt;&gt;Daten!$W14,1,IF(Daten!$V14=16,1,0))</f>
        <v>0</v>
      </c>
      <c r="N14" s="189">
        <f ca="1">IF(Daten!$W14=17,1,0)</f>
        <v>0</v>
      </c>
      <c r="O14" s="190">
        <f ca="1">IF(Daten!$X14=Sprache!$A$70,1,0)</f>
        <v>1</v>
      </c>
      <c r="P14" s="191">
        <f>IF(AND(Daten!$AQ14&lt;=KINVARO!$AW$3,Daten!$AR14&gt;=KINVARO!$AW$3)=TRUE,1,0)</f>
        <v>1</v>
      </c>
      <c r="Q14" s="192">
        <f>IF(AND(Daten!$AA14&lt;=KINVARO!$AW$4,Daten!$AB14&gt;=KINVARO!$AW$4)=TRUE,1,0)</f>
        <v>0</v>
      </c>
      <c r="R14" s="192"/>
      <c r="S14" s="192">
        <f>IF(AND(Daten!$AD14&lt;=Limits!$I$70,Daten!$AE14&gt;=Limits!$I$70)=TRUE,1,0)</f>
        <v>1</v>
      </c>
      <c r="T14" s="193">
        <f ca="1">IF(Daten!$Y14=Sprache!$A$135,1,0)</f>
        <v>0</v>
      </c>
      <c r="U14" s="124" t="str">
        <f ca="1">Sprache!$A$60</f>
        <v>L-80 Вертикальный подъемник</v>
      </c>
      <c r="V14" s="194" t="str">
        <f ca="1">Sprache!$A$74</f>
        <v>var</v>
      </c>
      <c r="W14" s="193" t="str">
        <f ca="1">Sprache!$A$74</f>
        <v>var</v>
      </c>
      <c r="X14" s="187" t="str">
        <f ca="1">Sprache!$A$70</f>
        <v>соединение с древесиной</v>
      </c>
      <c r="Y14" s="187" t="str">
        <f ca="1">Sprache!$A$136</f>
        <v>nein</v>
      </c>
      <c r="Z14" s="187" t="str">
        <f ca="1">Sprache!$A$106</f>
        <v>Korpus</v>
      </c>
      <c r="AA14" s="187">
        <v>390</v>
      </c>
      <c r="AB14" s="124">
        <v>409</v>
      </c>
      <c r="AC14" s="187"/>
      <c r="AD14" s="195">
        <v>8</v>
      </c>
      <c r="AE14" s="196">
        <v>10.1</v>
      </c>
      <c r="AF14" s="263" t="str">
        <f>MID(Tabelle2[[#This Row],[bnr full]],1,4)</f>
        <v>F152</v>
      </c>
      <c r="AG14" s="264" t="str">
        <f>MID(Tabelle2[[#This Row],[bnr full]],5,3)</f>
        <v>145</v>
      </c>
      <c r="AH14" s="265" t="str">
        <f>MID(Tabelle2[[#This Row],[bnr full]],8,3)</f>
        <v>252</v>
      </c>
      <c r="AI14" s="264" t="str">
        <f>MID(Tabelle2[[#This Row],[bnr full]],11,3)</f>
        <v>201</v>
      </c>
      <c r="AJ14" s="252" t="str">
        <f>MID(Tabelle2[[#This Row],[bnr full]],11,3)</f>
        <v>201</v>
      </c>
      <c r="AK14" s="197" t="s">
        <v>767</v>
      </c>
      <c r="AL14" s="124" t="str">
        <f ca="1">Sprache!$A$111</f>
        <v>Комплект (Л + П)</v>
      </c>
      <c r="AM14" s="187" t="str">
        <f ca="1">Sprache!$A$115</f>
        <v>Направляющий рычаг, тип 3</v>
      </c>
      <c r="AN14" s="187" t="str">
        <f ca="1">Sprache!$A$122</f>
        <v>Силовой механизм C</v>
      </c>
      <c r="AO14" s="187" t="s">
        <v>25</v>
      </c>
      <c r="AP14" s="187" t="s">
        <v>25</v>
      </c>
      <c r="AQ14" s="187">
        <v>450</v>
      </c>
      <c r="AR14" s="124">
        <v>1200</v>
      </c>
      <c r="AS14" s="187"/>
      <c r="AT14" s="124"/>
      <c r="AU14"/>
      <c r="AV14"/>
      <c r="AY14"/>
      <c r="AZ14"/>
      <c r="BA14"/>
      <c r="BB14"/>
      <c r="BC14"/>
    </row>
    <row r="15" spans="1:55" ht="15.75" hidden="1" thickBot="1" x14ac:dyDescent="0.3">
      <c r="A15" s="12" t="str">
        <f ca="1">IF(F15+G15+H15+I15+J15+D15+E15=3,IF(Tabelle2[[#This Row],[Kappe Weiß]]=Limits!$R$29,1,""),"")</f>
        <v/>
      </c>
      <c r="B15" s="12" t="str">
        <f ca="1">IF(G15+H15+I15+J15+E15+F15=2,IF(Tabelle2[[#This Row],[Kappe Weiß]]=Limits!$R$29,1,""),"")</f>
        <v/>
      </c>
      <c r="C15" s="291">
        <v>0</v>
      </c>
      <c r="D15" s="171">
        <f>IF(Limits!$P$4=TRUE,1,0)</f>
        <v>0</v>
      </c>
      <c r="E15" s="172">
        <f>IF(Daten!$P15+Daten!$Q15+Daten!$S15=3,1,0)</f>
        <v>0</v>
      </c>
      <c r="F15" s="173">
        <f ca="1">IF(AND(Limits!$Q$21=TRUE,Daten!O15=1)=TRUE,1,0)</f>
        <v>0</v>
      </c>
      <c r="G15" s="174">
        <f>IF(AND(Limits!$Q$25=TRUE,Daten!N15=1)=TRUE,1,0)</f>
        <v>0</v>
      </c>
      <c r="H15" s="174">
        <f>IF(AND(Limits!$Q$24=TRUE,Daten!M15=1)=TRUE,1,0)</f>
        <v>0</v>
      </c>
      <c r="I15" s="174">
        <f>IF(AND(Limits!$Q$23=TRUE,Daten!L15=1)=TRUE,1,0)</f>
        <v>0</v>
      </c>
      <c r="J15" s="174">
        <f>IF(AND(Limits!$Q$22=TRUE,Daten!K15=1)=TRUE,1,0)</f>
        <v>0</v>
      </c>
      <c r="K15" s="188">
        <f>IF(Daten!$V15=13,1,0)</f>
        <v>1</v>
      </c>
      <c r="L15" s="189">
        <f>IF(Daten!$V15&lt;&gt;Daten!$W15,1,IF(Daten!$V15=14,1,0))</f>
        <v>1</v>
      </c>
      <c r="M15" s="189">
        <f>IF(Daten!$V15&lt;&gt;Daten!$W15,1,IF(Daten!$V15=16,1,0))</f>
        <v>1</v>
      </c>
      <c r="N15" s="189">
        <f>IF(Daten!$W15=17,1,0)</f>
        <v>1</v>
      </c>
      <c r="O15" s="190">
        <f ca="1">IF(Daten!$X15=Sprache!$A$70,1,0)</f>
        <v>0</v>
      </c>
      <c r="P15" s="191">
        <f>IF(AND(Daten!$AQ15&lt;=KINVARO!$AW$3,Daten!$AR15&gt;=KINVARO!$AW$3)=TRUE,1,0)</f>
        <v>1</v>
      </c>
      <c r="Q15" s="192">
        <f>IF(AND(Daten!$AA15&lt;=KINVARO!$AW$4,Daten!$AB15&gt;=KINVARO!$AW$4)=TRUE,1,0)</f>
        <v>0</v>
      </c>
      <c r="R15" s="192"/>
      <c r="S15" s="192">
        <f>IF(AND(Daten!$AD15&lt;=Limits!$I$70,Daten!$AE15&gt;=Limits!$I$70)=TRUE,1,0)</f>
        <v>0</v>
      </c>
      <c r="T15" s="193">
        <f ca="1">IF(Daten!$Y15=Sprache!$A$135,1,0)</f>
        <v>0</v>
      </c>
      <c r="U15" s="124" t="str">
        <f ca="1">Sprache!$A$60</f>
        <v>L-80 Вертикальный подъемник</v>
      </c>
      <c r="V15" s="194">
        <v>13</v>
      </c>
      <c r="W15" s="193">
        <v>17</v>
      </c>
      <c r="X15" s="187" t="str">
        <f ca="1">Sprache!$A$141</f>
        <v>Alu</v>
      </c>
      <c r="Y15" s="187" t="str">
        <f ca="1">Sprache!$A$136</f>
        <v>nein</v>
      </c>
      <c r="Z15" s="187" t="str">
        <f ca="1">Sprache!$A$106</f>
        <v>Korpus</v>
      </c>
      <c r="AA15" s="187">
        <v>390</v>
      </c>
      <c r="AB15" s="124">
        <v>409</v>
      </c>
      <c r="AC15" s="187"/>
      <c r="AD15" s="195">
        <v>2.1</v>
      </c>
      <c r="AE15" s="196">
        <v>5.5</v>
      </c>
      <c r="AF15" s="263" t="str">
        <f>MID(Tabelle2[[#This Row],[bnr full]],1,4)</f>
        <v>F152</v>
      </c>
      <c r="AG15" s="264" t="str">
        <f>MID(Tabelle2[[#This Row],[bnr full]],5,3)</f>
        <v>147</v>
      </c>
      <c r="AH15" s="265" t="str">
        <f>MID(Tabelle2[[#This Row],[bnr full]],8,3)</f>
        <v>441</v>
      </c>
      <c r="AI15" s="264" t="str">
        <f>MID(Tabelle2[[#This Row],[bnr full]],11,3)</f>
        <v>201</v>
      </c>
      <c r="AJ15" s="252" t="str">
        <f>MID(Tabelle2[[#This Row],[bnr full]],11,3)</f>
        <v>201</v>
      </c>
      <c r="AK15" s="197" t="s">
        <v>765</v>
      </c>
      <c r="AL15" s="124" t="str">
        <f ca="1">Sprache!$A$111</f>
        <v>Комплект (Л + П)</v>
      </c>
      <c r="AM15" s="187" t="str">
        <f ca="1">Sprache!$A$115</f>
        <v>Направляющий рычаг, тип 3</v>
      </c>
      <c r="AN15" s="187" t="str">
        <f ca="1">Sprache!$A$120</f>
        <v>Силовой механизм A</v>
      </c>
      <c r="AO15" s="187" t="str">
        <f ca="1">Sprache!$A$143</f>
        <v>Адаптер под алюминиевые рамки к комплекту Kinvaro L-80</v>
      </c>
      <c r="AP15" s="187" t="s">
        <v>814</v>
      </c>
      <c r="AQ15" s="187">
        <v>450</v>
      </c>
      <c r="AR15" s="124">
        <v>1200</v>
      </c>
      <c r="AS15" s="187"/>
      <c r="AT15" s="124"/>
      <c r="AU15"/>
      <c r="AV15"/>
      <c r="AY15"/>
      <c r="AZ15"/>
      <c r="BA15"/>
      <c r="BB15"/>
      <c r="BC15"/>
    </row>
    <row r="16" spans="1:55" ht="15.75" hidden="1" thickBot="1" x14ac:dyDescent="0.3">
      <c r="A16" s="12" t="str">
        <f ca="1">IF(F16+G16+H16+I16+J16+D16+E16=3,IF(Tabelle2[[#This Row],[Kappe Weiß]]=Limits!$R$29,1,""),"")</f>
        <v/>
      </c>
      <c r="B16" s="12" t="str">
        <f ca="1">IF(G16+H16+I16+J16+E16+F16=2,IF(Tabelle2[[#This Row],[Kappe Weiß]]=Limits!$R$29,1,""),"")</f>
        <v/>
      </c>
      <c r="C16" s="291">
        <v>0</v>
      </c>
      <c r="D16" s="171">
        <f>IF(Limits!$P$4=TRUE,1,0)</f>
        <v>0</v>
      </c>
      <c r="E16" s="172">
        <f>IF(Daten!$P16+Daten!$Q16+Daten!$S16=3,1,0)</f>
        <v>0</v>
      </c>
      <c r="F16" s="173">
        <f ca="1">IF(AND(Limits!$Q$21=TRUE,Daten!O16=1)=TRUE,1,0)</f>
        <v>0</v>
      </c>
      <c r="G16" s="174">
        <f>IF(AND(Limits!$Q$25=TRUE,Daten!N16=1)=TRUE,1,0)</f>
        <v>0</v>
      </c>
      <c r="H16" s="174">
        <f>IF(AND(Limits!$Q$24=TRUE,Daten!M16=1)=TRUE,1,0)</f>
        <v>0</v>
      </c>
      <c r="I16" s="174">
        <f>IF(AND(Limits!$Q$23=TRUE,Daten!L16=1)=TRUE,1,0)</f>
        <v>0</v>
      </c>
      <c r="J16" s="174">
        <f>IF(AND(Limits!$Q$22=TRUE,Daten!K16=1)=TRUE,1,0)</f>
        <v>0</v>
      </c>
      <c r="K16" s="188">
        <f>IF(Daten!$V16=13,1,0)</f>
        <v>1</v>
      </c>
      <c r="L16" s="189">
        <f>IF(Daten!$V16&lt;&gt;Daten!$W16,1,IF(Daten!$V16=14,1,0))</f>
        <v>1</v>
      </c>
      <c r="M16" s="189">
        <f>IF(Daten!$V16&lt;&gt;Daten!$W16,1,IF(Daten!$V16=16,1,0))</f>
        <v>1</v>
      </c>
      <c r="N16" s="189">
        <f>IF(Daten!$W16=17,1,0)</f>
        <v>1</v>
      </c>
      <c r="O16" s="190">
        <f ca="1">IF(Daten!$X16=Sprache!$A$70,1,0)</f>
        <v>0</v>
      </c>
      <c r="P16" s="191">
        <f>IF(AND(Daten!$AQ16&lt;=KINVARO!$AW$3,Daten!$AR16&gt;=KINVARO!$AW$3)=TRUE,1,0)</f>
        <v>1</v>
      </c>
      <c r="Q16" s="192">
        <f>IF(AND(Daten!$AA16&lt;=KINVARO!$AW$4,Daten!$AB16&gt;=KINVARO!$AW$4)=TRUE,1,0)</f>
        <v>0</v>
      </c>
      <c r="R16" s="192"/>
      <c r="S16" s="192">
        <f>IF(AND(Daten!$AD16&lt;=Limits!$I$70,Daten!$AE16&gt;=Limits!$I$70)=TRUE,1,0)</f>
        <v>0</v>
      </c>
      <c r="T16" s="193">
        <f ca="1">IF(Daten!$Y16=Sprache!$A$135,1,0)</f>
        <v>0</v>
      </c>
      <c r="U16" s="124" t="str">
        <f ca="1">Sprache!$A$60</f>
        <v>L-80 Вертикальный подъемник</v>
      </c>
      <c r="V16" s="194">
        <v>13</v>
      </c>
      <c r="W16" s="193">
        <v>17</v>
      </c>
      <c r="X16" s="187" t="str">
        <f ca="1">Sprache!$A$141</f>
        <v>Alu</v>
      </c>
      <c r="Y16" s="187" t="str">
        <f ca="1">Sprache!$A$136</f>
        <v>nein</v>
      </c>
      <c r="Z16" s="187" t="str">
        <f ca="1">Sprache!$A$106</f>
        <v>Korpus</v>
      </c>
      <c r="AA16" s="187">
        <v>390</v>
      </c>
      <c r="AB16" s="124">
        <v>409</v>
      </c>
      <c r="AC16" s="187"/>
      <c r="AD16" s="195">
        <v>5</v>
      </c>
      <c r="AE16" s="196">
        <v>8.5</v>
      </c>
      <c r="AF16" s="263" t="str">
        <f>MID(Tabelle2[[#This Row],[bnr full]],1,4)</f>
        <v>F152</v>
      </c>
      <c r="AG16" s="264" t="str">
        <f>MID(Tabelle2[[#This Row],[bnr full]],5,3)</f>
        <v>145</v>
      </c>
      <c r="AH16" s="265" t="str">
        <f>MID(Tabelle2[[#This Row],[bnr full]],8,3)</f>
        <v>251</v>
      </c>
      <c r="AI16" s="264" t="str">
        <f>MID(Tabelle2[[#This Row],[bnr full]],11,3)</f>
        <v>201</v>
      </c>
      <c r="AJ16" s="252" t="str">
        <f>MID(Tabelle2[[#This Row],[bnr full]],11,3)</f>
        <v>201</v>
      </c>
      <c r="AK16" s="197" t="s">
        <v>766</v>
      </c>
      <c r="AL16" s="124" t="str">
        <f ca="1">Sprache!$A$111</f>
        <v>Комплект (Л + П)</v>
      </c>
      <c r="AM16" s="187" t="str">
        <f ca="1">Sprache!$A$115</f>
        <v>Направляющий рычаг, тип 3</v>
      </c>
      <c r="AN16" s="187" t="str">
        <f ca="1">Sprache!$A$121</f>
        <v>Силовой механизм B</v>
      </c>
      <c r="AO16" s="187" t="str">
        <f ca="1">Sprache!$A$143</f>
        <v>Адаптер под алюминиевые рамки к комплекту Kinvaro L-80</v>
      </c>
      <c r="AP16" s="187" t="s">
        <v>814</v>
      </c>
      <c r="AQ16" s="187">
        <v>450</v>
      </c>
      <c r="AR16" s="124">
        <v>1200</v>
      </c>
      <c r="AS16" s="187"/>
      <c r="AT16" s="124"/>
      <c r="AU16"/>
      <c r="AV16"/>
      <c r="AY16"/>
      <c r="AZ16"/>
      <c r="BA16"/>
      <c r="BB16"/>
      <c r="BC16"/>
    </row>
    <row r="17" spans="1:55" s="5" customFormat="1" ht="15.75" hidden="1" thickBot="1" x14ac:dyDescent="0.3">
      <c r="A17" s="12" t="str">
        <f ca="1">IF(F17+G17+H17+I17+J17+D17+E17=3,IF(Tabelle2[[#This Row],[Kappe Weiß]]=Limits!$R$29,1,""),"")</f>
        <v/>
      </c>
      <c r="B17" s="12" t="str">
        <f ca="1">IF(G17+H17+I17+J17+E17+F17=2,IF(Tabelle2[[#This Row],[Kappe Weiß]]=Limits!$R$29,1,""),"")</f>
        <v/>
      </c>
      <c r="C17" s="291">
        <v>0</v>
      </c>
      <c r="D17" s="171">
        <f>IF(Limits!$P$4=TRUE,1,0)</f>
        <v>0</v>
      </c>
      <c r="E17" s="172">
        <f>IF(Daten!$P17+Daten!$Q17+Daten!$S17=3,1,0)</f>
        <v>0</v>
      </c>
      <c r="F17" s="173">
        <f ca="1">IF(AND(Limits!$Q$21=TRUE,Daten!O17=1)=TRUE,1,0)</f>
        <v>0</v>
      </c>
      <c r="G17" s="174">
        <f>IF(AND(Limits!$Q$25=TRUE,Daten!N17=1)=TRUE,1,0)</f>
        <v>0</v>
      </c>
      <c r="H17" s="174">
        <f>IF(AND(Limits!$Q$24=TRUE,Daten!M17=1)=TRUE,1,0)</f>
        <v>0</v>
      </c>
      <c r="I17" s="174">
        <f>IF(AND(Limits!$Q$23=TRUE,Daten!L17=1)=TRUE,1,0)</f>
        <v>0</v>
      </c>
      <c r="J17" s="174">
        <f>IF(AND(Limits!$Q$22=TRUE,Daten!K17=1)=TRUE,1,0)</f>
        <v>0</v>
      </c>
      <c r="K17" s="188">
        <f>IF(Daten!$V17=13,1,0)</f>
        <v>1</v>
      </c>
      <c r="L17" s="189">
        <f>IF(Daten!$V17&lt;&gt;Daten!$W17,1,IF(Daten!$V17=14,1,0))</f>
        <v>1</v>
      </c>
      <c r="M17" s="189">
        <f>IF(Daten!$V17&lt;&gt;Daten!$W17,1,IF(Daten!$V17=16,1,0))</f>
        <v>1</v>
      </c>
      <c r="N17" s="189">
        <f>IF(Daten!$W17=17,1,0)</f>
        <v>1</v>
      </c>
      <c r="O17" s="190">
        <f ca="1">IF(Daten!$X17=Sprache!$A$70,1,0)</f>
        <v>0</v>
      </c>
      <c r="P17" s="191">
        <f>IF(AND(Daten!$AQ17&lt;=KINVARO!$AW$3,Daten!$AR17&gt;=KINVARO!$AW$3)=TRUE,1,0)</f>
        <v>1</v>
      </c>
      <c r="Q17" s="192">
        <f>IF(AND(Daten!$AA17&lt;=KINVARO!$AW$4,Daten!$AB17&gt;=KINVARO!$AW$4)=TRUE,1,0)</f>
        <v>0</v>
      </c>
      <c r="R17" s="192"/>
      <c r="S17" s="192">
        <f>IF(AND(Daten!$AD17&lt;=Limits!$I$70,Daten!$AE17&gt;=Limits!$I$70)=TRUE,1,0)</f>
        <v>1</v>
      </c>
      <c r="T17" s="193">
        <f ca="1">IF(Daten!$Y17=Sprache!$A$135,1,0)</f>
        <v>0</v>
      </c>
      <c r="U17" s="124" t="str">
        <f ca="1">Sprache!$A$60</f>
        <v>L-80 Вертикальный подъемник</v>
      </c>
      <c r="V17" s="194">
        <v>13</v>
      </c>
      <c r="W17" s="193">
        <v>17</v>
      </c>
      <c r="X17" s="187" t="str">
        <f ca="1">Sprache!$A$141</f>
        <v>Alu</v>
      </c>
      <c r="Y17" s="187" t="str">
        <f ca="1">Sprache!$A$136</f>
        <v>nein</v>
      </c>
      <c r="Z17" s="187" t="str">
        <f ca="1">Sprache!$A$106</f>
        <v>Korpus</v>
      </c>
      <c r="AA17" s="187">
        <v>390</v>
      </c>
      <c r="AB17" s="124">
        <v>409</v>
      </c>
      <c r="AC17" s="187"/>
      <c r="AD17" s="195">
        <v>8</v>
      </c>
      <c r="AE17" s="196">
        <v>10.1</v>
      </c>
      <c r="AF17" s="263" t="str">
        <f>MID(Tabelle2[[#This Row],[bnr full]],1,4)</f>
        <v>F152</v>
      </c>
      <c r="AG17" s="264" t="str">
        <f>MID(Tabelle2[[#This Row],[bnr full]],5,3)</f>
        <v>145</v>
      </c>
      <c r="AH17" s="265" t="str">
        <f>MID(Tabelle2[[#This Row],[bnr full]],8,3)</f>
        <v>252</v>
      </c>
      <c r="AI17" s="264" t="str">
        <f>MID(Tabelle2[[#This Row],[bnr full]],11,3)</f>
        <v>201</v>
      </c>
      <c r="AJ17" s="252" t="str">
        <f>MID(Tabelle2[[#This Row],[bnr full]],11,3)</f>
        <v>201</v>
      </c>
      <c r="AK17" s="197" t="s">
        <v>767</v>
      </c>
      <c r="AL17" s="124" t="str">
        <f ca="1">Sprache!$A$111</f>
        <v>Комплект (Л + П)</v>
      </c>
      <c r="AM17" s="187" t="str">
        <f ca="1">Sprache!$A$115</f>
        <v>Направляющий рычаг, тип 3</v>
      </c>
      <c r="AN17" s="187" t="str">
        <f ca="1">Sprache!$A$122</f>
        <v>Силовой механизм C</v>
      </c>
      <c r="AO17" s="187" t="str">
        <f ca="1">Sprache!$A$143</f>
        <v>Адаптер под алюминиевые рамки к комплекту Kinvaro L-80</v>
      </c>
      <c r="AP17" s="187" t="s">
        <v>814</v>
      </c>
      <c r="AQ17" s="187">
        <v>450</v>
      </c>
      <c r="AR17" s="124">
        <v>1200</v>
      </c>
      <c r="AS17" s="187"/>
      <c r="AT17" s="124"/>
    </row>
    <row r="18" spans="1:55" ht="15.75" hidden="1" thickBot="1" x14ac:dyDescent="0.3">
      <c r="A18" s="12" t="str">
        <f ca="1">IF(F18+G18+H18+I18+J18+D18+E18=3,IF(Tabelle2[[#This Row],[Kappe Weiß]]=Limits!$R$29,1,""),"")</f>
        <v/>
      </c>
      <c r="B18" s="12" t="str">
        <f ca="1">IF(G18+H18+I18+J18+E18+F18=2,IF(Tabelle2[[#This Row],[Kappe Weiß]]=Limits!$R$29,1,""),"")</f>
        <v/>
      </c>
      <c r="C18" s="292">
        <v>0</v>
      </c>
      <c r="D18" s="171">
        <f>IF(Limits!$P$4=TRUE,1,0)</f>
        <v>0</v>
      </c>
      <c r="E18" s="172">
        <f>IF(Daten!$P18+Daten!$Q18+Daten!$S18=3,1,0)</f>
        <v>0</v>
      </c>
      <c r="F18" s="173">
        <f ca="1">IF(AND(Limits!$Q$21=TRUE,Daten!O18=1)=TRUE,1,0)</f>
        <v>1</v>
      </c>
      <c r="G18" s="174">
        <f ca="1">IF(AND(Limits!$Q$25=TRUE,Daten!N18=1)=TRUE,1,0)</f>
        <v>0</v>
      </c>
      <c r="H18" s="174">
        <f ca="1">IF(AND(Limits!$Q$24=TRUE,Daten!M18=1)=TRUE,1,0)</f>
        <v>0</v>
      </c>
      <c r="I18" s="174">
        <f ca="1">IF(AND(Limits!$Q$23=TRUE,Daten!L18=1)=TRUE,1,0)</f>
        <v>0</v>
      </c>
      <c r="J18" s="174">
        <f ca="1">IF(AND(Limits!$Q$22=TRUE,Daten!K18=1)=TRUE,1,0)</f>
        <v>0</v>
      </c>
      <c r="K18" s="188">
        <f ca="1">IF(Daten!$V18=13,1,0)</f>
        <v>0</v>
      </c>
      <c r="L18" s="189">
        <f ca="1">IF(Daten!$V18&lt;&gt;Daten!$W18,1,IF(Daten!$V18=14,1,0))</f>
        <v>0</v>
      </c>
      <c r="M18" s="189">
        <f ca="1">IF(Daten!$V18&lt;&gt;Daten!$W18,1,IF(Daten!$V18=16,1,0))</f>
        <v>0</v>
      </c>
      <c r="N18" s="189">
        <f ca="1">IF(Daten!$W18=17,1,0)</f>
        <v>0</v>
      </c>
      <c r="O18" s="190">
        <f ca="1">IF(Daten!$X18=Sprache!$A$70,1,0)</f>
        <v>1</v>
      </c>
      <c r="P18" s="198">
        <f>IF(AND(Daten!$AQ18&lt;=KINVARO!$AW$3,Daten!$AR18&gt;=KINVARO!$AW$3)=TRUE,1,0)</f>
        <v>1</v>
      </c>
      <c r="Q18" s="199">
        <f>IF(AND(Daten!$AA18&lt;=KINVARO!$AW$4,Daten!$AB18&gt;=KINVARO!$AW$4)=TRUE,1,0)</f>
        <v>0</v>
      </c>
      <c r="R18" s="199"/>
      <c r="S18" s="199">
        <f>IF(AND(Daten!$AD18&lt;=Limits!$I$70,Daten!$AE18&gt;=Limits!$I$70)=TRUE,1,0)</f>
        <v>0</v>
      </c>
      <c r="T18" s="200">
        <f ca="1">IF(Daten!$Y18=Sprache!$A$135,1,0)</f>
        <v>0</v>
      </c>
      <c r="U18" s="201" t="str">
        <f ca="1">Sprache!$A$60</f>
        <v>L-80 Вертикальный подъемник</v>
      </c>
      <c r="V18" s="202" t="str">
        <f ca="1">Sprache!$A$74</f>
        <v>var</v>
      </c>
      <c r="W18" s="200" t="str">
        <f ca="1">Sprache!$A$74</f>
        <v>var</v>
      </c>
      <c r="X18" s="203" t="str">
        <f ca="1">Sprache!$A$70</f>
        <v>соединение с древесиной</v>
      </c>
      <c r="Y18" s="187" t="str">
        <f ca="1">Sprache!$A$136</f>
        <v>nein</v>
      </c>
      <c r="Z18" s="203" t="str">
        <f ca="1">Sprache!$A$106</f>
        <v>Korpus</v>
      </c>
      <c r="AA18" s="203">
        <v>410</v>
      </c>
      <c r="AB18" s="201">
        <v>429</v>
      </c>
      <c r="AC18" s="203"/>
      <c r="AD18" s="204">
        <v>1.9</v>
      </c>
      <c r="AE18" s="205">
        <v>5</v>
      </c>
      <c r="AF18" s="266" t="str">
        <f>MID(Tabelle2[[#This Row],[bnr full]],1,4)</f>
        <v>F152</v>
      </c>
      <c r="AG18" s="267" t="str">
        <f>MID(Tabelle2[[#This Row],[bnr full]],5,3)</f>
        <v>147</v>
      </c>
      <c r="AH18" s="268" t="str">
        <f>MID(Tabelle2[[#This Row],[bnr full]],8,3)</f>
        <v>442</v>
      </c>
      <c r="AI18" s="267" t="str">
        <f>MID(Tabelle2[[#This Row],[bnr full]],11,3)</f>
        <v>201</v>
      </c>
      <c r="AJ18" s="253" t="str">
        <f>MID(Tabelle2[[#This Row],[bnr full]],11,3)</f>
        <v>201</v>
      </c>
      <c r="AK18" s="206" t="s">
        <v>768</v>
      </c>
      <c r="AL18" s="201" t="str">
        <f ca="1">Sprache!$A$111</f>
        <v>Комплект (Л + П)</v>
      </c>
      <c r="AM18" s="203" t="str">
        <f ca="1">Sprache!$A$116</f>
        <v>Направляющий рычаг, тип 4</v>
      </c>
      <c r="AN18" s="203" t="str">
        <f ca="1">Sprache!$A$120</f>
        <v>Силовой механизм A</v>
      </c>
      <c r="AO18" s="203" t="s">
        <v>25</v>
      </c>
      <c r="AP18" s="203" t="s">
        <v>25</v>
      </c>
      <c r="AQ18" s="203">
        <v>450</v>
      </c>
      <c r="AR18" s="201">
        <v>1200</v>
      </c>
      <c r="AS18" s="187"/>
      <c r="AT18" s="124"/>
      <c r="AU18"/>
      <c r="AV18"/>
      <c r="AY18"/>
      <c r="AZ18"/>
      <c r="BA18"/>
      <c r="BB18"/>
      <c r="BC18"/>
    </row>
    <row r="19" spans="1:55" ht="15.75" hidden="1" thickBot="1" x14ac:dyDescent="0.3">
      <c r="A19" s="12" t="str">
        <f ca="1">IF(F19+G19+H19+I19+J19+D19+E19=3,IF(Tabelle2[[#This Row],[Kappe Weiß]]=Limits!$R$29,1,""),"")</f>
        <v/>
      </c>
      <c r="B19" s="12" t="str">
        <f ca="1">IF(G19+H19+I19+J19+E19+F19=2,IF(Tabelle2[[#This Row],[Kappe Weiß]]=Limits!$R$29,1,""),"")</f>
        <v/>
      </c>
      <c r="C19" s="291">
        <v>0</v>
      </c>
      <c r="D19" s="171">
        <f>IF(Limits!$P$4=TRUE,1,0)</f>
        <v>0</v>
      </c>
      <c r="E19" s="172">
        <f>IF(Daten!$P19+Daten!$Q19+Daten!$S19=3,1,0)</f>
        <v>0</v>
      </c>
      <c r="F19" s="173">
        <f ca="1">IF(AND(Limits!$Q$21=TRUE,Daten!O19=1)=TRUE,1,0)</f>
        <v>1</v>
      </c>
      <c r="G19" s="174">
        <f ca="1">IF(AND(Limits!$Q$25=TRUE,Daten!N19=1)=TRUE,1,0)</f>
        <v>0</v>
      </c>
      <c r="H19" s="174">
        <f ca="1">IF(AND(Limits!$Q$24=TRUE,Daten!M19=1)=TRUE,1,0)</f>
        <v>0</v>
      </c>
      <c r="I19" s="174">
        <f ca="1">IF(AND(Limits!$Q$23=TRUE,Daten!L19=1)=TRUE,1,0)</f>
        <v>0</v>
      </c>
      <c r="J19" s="174">
        <f ca="1">IF(AND(Limits!$Q$22=TRUE,Daten!K19=1)=TRUE,1,0)</f>
        <v>0</v>
      </c>
      <c r="K19" s="188">
        <f ca="1">IF(Daten!$V19=13,1,0)</f>
        <v>0</v>
      </c>
      <c r="L19" s="189">
        <f ca="1">IF(Daten!$V19&lt;&gt;Daten!$W19,1,IF(Daten!$V19=14,1,0))</f>
        <v>0</v>
      </c>
      <c r="M19" s="189">
        <f ca="1">IF(Daten!$V19&lt;&gt;Daten!$W19,1,IF(Daten!$V19=16,1,0))</f>
        <v>0</v>
      </c>
      <c r="N19" s="189">
        <f ca="1">IF(Daten!$W19=17,1,0)</f>
        <v>0</v>
      </c>
      <c r="O19" s="190">
        <f ca="1">IF(Daten!$X19=Sprache!$A$70,1,0)</f>
        <v>1</v>
      </c>
      <c r="P19" s="191">
        <f>IF(AND(Daten!$AQ19&lt;=KINVARO!$AW$3,Daten!$AR19&gt;=KINVARO!$AW$3)=TRUE,1,0)</f>
        <v>1</v>
      </c>
      <c r="Q19" s="192">
        <f>IF(AND(Daten!$AA19&lt;=KINVARO!$AW$4,Daten!$AB19&gt;=KINVARO!$AW$4)=TRUE,1,0)</f>
        <v>0</v>
      </c>
      <c r="R19" s="192"/>
      <c r="S19" s="192">
        <f>IF(AND(Daten!$AD19&lt;=Limits!$I$70,Daten!$AE19&gt;=Limits!$I$70)=TRUE,1,0)</f>
        <v>0</v>
      </c>
      <c r="T19" s="193">
        <f ca="1">IF(Daten!$Y19=Sprache!$A$135,1,0)</f>
        <v>0</v>
      </c>
      <c r="U19" s="124" t="str">
        <f ca="1">Sprache!$A$60</f>
        <v>L-80 Вертикальный подъемник</v>
      </c>
      <c r="V19" s="194" t="str">
        <f ca="1">Sprache!$A$74</f>
        <v>var</v>
      </c>
      <c r="W19" s="193" t="str">
        <f ca="1">Sprache!$A$74</f>
        <v>var</v>
      </c>
      <c r="X19" s="187" t="str">
        <f ca="1">Sprache!$A$70</f>
        <v>соединение с древесиной</v>
      </c>
      <c r="Y19" s="187" t="str">
        <f ca="1">Sprache!$A$136</f>
        <v>nein</v>
      </c>
      <c r="Z19" s="187" t="str">
        <f ca="1">Sprache!$A$106</f>
        <v>Korpus</v>
      </c>
      <c r="AA19" s="187">
        <v>410</v>
      </c>
      <c r="AB19" s="124">
        <v>429</v>
      </c>
      <c r="AC19" s="187"/>
      <c r="AD19" s="195">
        <v>4.5</v>
      </c>
      <c r="AE19" s="196">
        <v>8</v>
      </c>
      <c r="AF19" s="263" t="str">
        <f>MID(Tabelle2[[#This Row],[bnr full]],1,4)</f>
        <v>F152</v>
      </c>
      <c r="AG19" s="264" t="str">
        <f>MID(Tabelle2[[#This Row],[bnr full]],5,3)</f>
        <v>145</v>
      </c>
      <c r="AH19" s="265" t="str">
        <f>MID(Tabelle2[[#This Row],[bnr full]],8,3)</f>
        <v>281</v>
      </c>
      <c r="AI19" s="264" t="str">
        <f>MID(Tabelle2[[#This Row],[bnr full]],11,3)</f>
        <v>201</v>
      </c>
      <c r="AJ19" s="252" t="str">
        <f>MID(Tabelle2[[#This Row],[bnr full]],11,3)</f>
        <v>201</v>
      </c>
      <c r="AK19" s="197" t="s">
        <v>769</v>
      </c>
      <c r="AL19" s="124" t="str">
        <f ca="1">Sprache!$A$111</f>
        <v>Комплект (Л + П)</v>
      </c>
      <c r="AM19" s="187" t="str">
        <f ca="1">Sprache!$A$116</f>
        <v>Направляющий рычаг, тип 4</v>
      </c>
      <c r="AN19" s="187" t="str">
        <f ca="1">Sprache!$A$121</f>
        <v>Силовой механизм B</v>
      </c>
      <c r="AO19" s="187" t="s">
        <v>25</v>
      </c>
      <c r="AP19" s="187" t="s">
        <v>25</v>
      </c>
      <c r="AQ19" s="187">
        <v>450</v>
      </c>
      <c r="AR19" s="124">
        <v>1200</v>
      </c>
      <c r="AS19" s="187"/>
      <c r="AT19" s="124"/>
      <c r="AU19"/>
      <c r="AV19"/>
      <c r="AY19"/>
      <c r="AZ19"/>
      <c r="BA19"/>
      <c r="BB19"/>
      <c r="BC19"/>
    </row>
    <row r="20" spans="1:55" s="4" customFormat="1" ht="15.75" hidden="1" thickBot="1" x14ac:dyDescent="0.3">
      <c r="A20" s="12" t="str">
        <f ca="1">IF(F20+G20+H20+I20+J20+D20+E20=3,IF(Tabelle2[[#This Row],[Kappe Weiß]]=Limits!$R$29,1,""),"")</f>
        <v/>
      </c>
      <c r="B20" s="12" t="str">
        <f ca="1">IF(G20+H20+I20+J20+E20+F20=2,IF(Tabelle2[[#This Row],[Kappe Weiß]]=Limits!$R$29,1,""),"")</f>
        <v/>
      </c>
      <c r="C20" s="291">
        <v>0</v>
      </c>
      <c r="D20" s="171">
        <f>IF(Limits!$P$4=TRUE,1,0)</f>
        <v>0</v>
      </c>
      <c r="E20" s="172">
        <f>IF(Daten!$P20+Daten!$Q20+Daten!$S20=3,1,0)</f>
        <v>0</v>
      </c>
      <c r="F20" s="173">
        <f ca="1">IF(AND(Limits!$Q$21=TRUE,Daten!O20=1)=TRUE,1,0)</f>
        <v>1</v>
      </c>
      <c r="G20" s="174">
        <f ca="1">IF(AND(Limits!$Q$25=TRUE,Daten!N20=1)=TRUE,1,0)</f>
        <v>0</v>
      </c>
      <c r="H20" s="174">
        <f ca="1">IF(AND(Limits!$Q$24=TRUE,Daten!M20=1)=TRUE,1,0)</f>
        <v>0</v>
      </c>
      <c r="I20" s="174">
        <f ca="1">IF(AND(Limits!$Q$23=TRUE,Daten!L20=1)=TRUE,1,0)</f>
        <v>0</v>
      </c>
      <c r="J20" s="174">
        <f ca="1">IF(AND(Limits!$Q$22=TRUE,Daten!K20=1)=TRUE,1,0)</f>
        <v>0</v>
      </c>
      <c r="K20" s="188">
        <f ca="1">IF(Daten!$V20=13,1,0)</f>
        <v>0</v>
      </c>
      <c r="L20" s="189">
        <f ca="1">IF(Daten!$V20&lt;&gt;Daten!$W20,1,IF(Daten!$V20=14,1,0))</f>
        <v>0</v>
      </c>
      <c r="M20" s="189">
        <f ca="1">IF(Daten!$V20&lt;&gt;Daten!$W20,1,IF(Daten!$V20=16,1,0))</f>
        <v>0</v>
      </c>
      <c r="N20" s="189">
        <f ca="1">IF(Daten!$W20=17,1,0)</f>
        <v>0</v>
      </c>
      <c r="O20" s="190">
        <f ca="1">IF(Daten!$X20=Sprache!$A$70,1,0)</f>
        <v>1</v>
      </c>
      <c r="P20" s="191">
        <f>IF(AND(Daten!$AQ20&lt;=KINVARO!$AW$3,Daten!$AR20&gt;=KINVARO!$AW$3)=TRUE,1,0)</f>
        <v>1</v>
      </c>
      <c r="Q20" s="192">
        <f>IF(AND(Daten!$AA20&lt;=KINVARO!$AW$4,Daten!$AB20&gt;=KINVARO!$AW$4)=TRUE,1,0)</f>
        <v>0</v>
      </c>
      <c r="R20" s="192"/>
      <c r="S20" s="192">
        <f>IF(AND(Daten!$AD20&lt;=Limits!$I$70,Daten!$AE20&gt;=Limits!$I$70)=TRUE,1,0)</f>
        <v>1</v>
      </c>
      <c r="T20" s="193">
        <f ca="1">IF(Daten!$Y20=Sprache!$A$135,1,0)</f>
        <v>0</v>
      </c>
      <c r="U20" s="124" t="str">
        <f ca="1">Sprache!$A$60</f>
        <v>L-80 Вертикальный подъемник</v>
      </c>
      <c r="V20" s="194" t="str">
        <f ca="1">Sprache!$A$74</f>
        <v>var</v>
      </c>
      <c r="W20" s="193" t="str">
        <f ca="1">Sprache!$A$74</f>
        <v>var</v>
      </c>
      <c r="X20" s="187" t="str">
        <f ca="1">Sprache!$A$70</f>
        <v>соединение с древесиной</v>
      </c>
      <c r="Y20" s="187" t="str">
        <f ca="1">Sprache!$A$136</f>
        <v>nein</v>
      </c>
      <c r="Z20" s="187" t="str">
        <f ca="1">Sprache!$A$106</f>
        <v>Korpus</v>
      </c>
      <c r="AA20" s="187">
        <v>410</v>
      </c>
      <c r="AB20" s="124">
        <v>429</v>
      </c>
      <c r="AC20" s="187"/>
      <c r="AD20" s="195">
        <v>7.5</v>
      </c>
      <c r="AE20" s="196">
        <v>14.6</v>
      </c>
      <c r="AF20" s="263" t="str">
        <f>MID(Tabelle2[[#This Row],[bnr full]],1,4)</f>
        <v>F152</v>
      </c>
      <c r="AG20" s="264" t="str">
        <f>MID(Tabelle2[[#This Row],[bnr full]],5,3)</f>
        <v>145</v>
      </c>
      <c r="AH20" s="265" t="str">
        <f>MID(Tabelle2[[#This Row],[bnr full]],8,3)</f>
        <v>282</v>
      </c>
      <c r="AI20" s="264" t="str">
        <f>MID(Tabelle2[[#This Row],[bnr full]],11,3)</f>
        <v>201</v>
      </c>
      <c r="AJ20" s="252" t="str">
        <f>MID(Tabelle2[[#This Row],[bnr full]],11,3)</f>
        <v>201</v>
      </c>
      <c r="AK20" s="197" t="s">
        <v>770</v>
      </c>
      <c r="AL20" s="124" t="str">
        <f ca="1">Sprache!$A$111</f>
        <v>Комплект (Л + П)</v>
      </c>
      <c r="AM20" s="187" t="str">
        <f ca="1">Sprache!$A$116</f>
        <v>Направляющий рычаг, тип 4</v>
      </c>
      <c r="AN20" s="187" t="str">
        <f ca="1">Sprache!$A$122</f>
        <v>Силовой механизм C</v>
      </c>
      <c r="AO20" s="187" t="s">
        <v>25</v>
      </c>
      <c r="AP20" s="187" t="s">
        <v>25</v>
      </c>
      <c r="AQ20" s="187">
        <v>450</v>
      </c>
      <c r="AR20" s="124">
        <v>1200</v>
      </c>
      <c r="AS20" s="187"/>
      <c r="AT20" s="124"/>
    </row>
    <row r="21" spans="1:55" ht="15.75" hidden="1" thickBot="1" x14ac:dyDescent="0.3">
      <c r="A21" s="12" t="str">
        <f ca="1">IF(F21+G21+H21+I21+J21+D21+E21=3,IF(Tabelle2[[#This Row],[Kappe Weiß]]=Limits!$R$29,1,""),"")</f>
        <v/>
      </c>
      <c r="B21" s="12" t="str">
        <f ca="1">IF(G21+H21+I21+J21+E21+F21=2,IF(Tabelle2[[#This Row],[Kappe Weiß]]=Limits!$R$29,1,""),"")</f>
        <v/>
      </c>
      <c r="C21" s="291">
        <v>0</v>
      </c>
      <c r="D21" s="171">
        <f>IF(Limits!$P$4=TRUE,1,0)</f>
        <v>0</v>
      </c>
      <c r="E21" s="172">
        <f>IF(Daten!$P21+Daten!$Q21+Daten!$S21=3,1,0)</f>
        <v>0</v>
      </c>
      <c r="F21" s="173">
        <f ca="1">IF(AND(Limits!$Q$21=TRUE,Daten!O21=1)=TRUE,1,0)</f>
        <v>0</v>
      </c>
      <c r="G21" s="174">
        <f>IF(AND(Limits!$Q$25=TRUE,Daten!N21=1)=TRUE,1,0)</f>
        <v>0</v>
      </c>
      <c r="H21" s="174">
        <f>IF(AND(Limits!$Q$24=TRUE,Daten!M21=1)=TRUE,1,0)</f>
        <v>0</v>
      </c>
      <c r="I21" s="174">
        <f>IF(AND(Limits!$Q$23=TRUE,Daten!L21=1)=TRUE,1,0)</f>
        <v>0</v>
      </c>
      <c r="J21" s="174">
        <f>IF(AND(Limits!$Q$22=TRUE,Daten!K21=1)=TRUE,1,0)</f>
        <v>0</v>
      </c>
      <c r="K21" s="188">
        <f>IF(Daten!$V21=13,1,0)</f>
        <v>1</v>
      </c>
      <c r="L21" s="189">
        <f>IF(Daten!$V21&lt;&gt;Daten!$W21,1,IF(Daten!$V21=14,1,0))</f>
        <v>1</v>
      </c>
      <c r="M21" s="189">
        <f>IF(Daten!$V21&lt;&gt;Daten!$W21,1,IF(Daten!$V21=16,1,0))</f>
        <v>1</v>
      </c>
      <c r="N21" s="189">
        <f>IF(Daten!$W21=17,1,0)</f>
        <v>1</v>
      </c>
      <c r="O21" s="190">
        <f ca="1">IF(Daten!$X21=Sprache!$A$70,1,0)</f>
        <v>0</v>
      </c>
      <c r="P21" s="191">
        <f>IF(AND(Daten!$AQ21&lt;=KINVARO!$AW$3,Daten!$AR21&gt;=KINVARO!$AW$3)=TRUE,1,0)</f>
        <v>1</v>
      </c>
      <c r="Q21" s="192">
        <f>IF(AND(Daten!$AA21&lt;=KINVARO!$AW$4,Daten!$AB21&gt;=KINVARO!$AW$4)=TRUE,1,0)</f>
        <v>0</v>
      </c>
      <c r="R21" s="192"/>
      <c r="S21" s="192">
        <f>IF(AND(Daten!$AD21&lt;=Limits!$I$70,Daten!$AE21&gt;=Limits!$I$70)=TRUE,1,0)</f>
        <v>0</v>
      </c>
      <c r="T21" s="193">
        <f ca="1">IF(Daten!$Y21=Sprache!$A$135,1,0)</f>
        <v>0</v>
      </c>
      <c r="U21" s="124" t="str">
        <f ca="1">Sprache!$A$60</f>
        <v>L-80 Вертикальный подъемник</v>
      </c>
      <c r="V21" s="194">
        <v>13</v>
      </c>
      <c r="W21" s="193">
        <v>17</v>
      </c>
      <c r="X21" s="187" t="str">
        <f ca="1">Sprache!$A$141</f>
        <v>Alu</v>
      </c>
      <c r="Y21" s="187" t="str">
        <f ca="1">Sprache!$A$136</f>
        <v>nein</v>
      </c>
      <c r="Z21" s="187" t="str">
        <f ca="1">Sprache!$A$106</f>
        <v>Korpus</v>
      </c>
      <c r="AA21" s="187">
        <v>410</v>
      </c>
      <c r="AB21" s="124">
        <v>429</v>
      </c>
      <c r="AC21" s="187"/>
      <c r="AD21" s="195">
        <v>1.9</v>
      </c>
      <c r="AE21" s="196">
        <v>5</v>
      </c>
      <c r="AF21" s="263" t="str">
        <f>MID(Tabelle2[[#This Row],[bnr full]],1,4)</f>
        <v>F152</v>
      </c>
      <c r="AG21" s="264" t="str">
        <f>MID(Tabelle2[[#This Row],[bnr full]],5,3)</f>
        <v>147</v>
      </c>
      <c r="AH21" s="265" t="str">
        <f>MID(Tabelle2[[#This Row],[bnr full]],8,3)</f>
        <v>442</v>
      </c>
      <c r="AI21" s="264" t="str">
        <f>MID(Tabelle2[[#This Row],[bnr full]],11,3)</f>
        <v>201</v>
      </c>
      <c r="AJ21" s="252" t="str">
        <f>MID(Tabelle2[[#This Row],[bnr full]],11,3)</f>
        <v>201</v>
      </c>
      <c r="AK21" s="197" t="s">
        <v>768</v>
      </c>
      <c r="AL21" s="124" t="str">
        <f ca="1">Sprache!$A$111</f>
        <v>Комплект (Л + П)</v>
      </c>
      <c r="AM21" s="187" t="str">
        <f ca="1">Sprache!$A$116</f>
        <v>Направляющий рычаг, тип 4</v>
      </c>
      <c r="AN21" s="187" t="str">
        <f ca="1">Sprache!$A$120</f>
        <v>Силовой механизм A</v>
      </c>
      <c r="AO21" s="187" t="str">
        <f ca="1">Sprache!$A$143</f>
        <v>Адаптер под алюминиевые рамки к комплекту Kinvaro L-80</v>
      </c>
      <c r="AP21" s="187" t="s">
        <v>814</v>
      </c>
      <c r="AQ21" s="187">
        <v>450</v>
      </c>
      <c r="AR21" s="124">
        <v>1200</v>
      </c>
      <c r="AS21" s="187"/>
      <c r="AT21" s="124"/>
      <c r="AU21"/>
      <c r="AV21"/>
      <c r="AY21"/>
      <c r="AZ21"/>
      <c r="BA21"/>
      <c r="BB21"/>
      <c r="BC21"/>
    </row>
    <row r="22" spans="1:55" ht="15.75" hidden="1" thickBot="1" x14ac:dyDescent="0.3">
      <c r="A22" s="12" t="str">
        <f ca="1">IF(F22+G22+H22+I22+J22+D22+E22=3,IF(Tabelle2[[#This Row],[Kappe Weiß]]=Limits!$R$29,1,""),"")</f>
        <v/>
      </c>
      <c r="B22" s="12" t="str">
        <f ca="1">IF(G22+H22+I22+J22+E22+F22=2,IF(Tabelle2[[#This Row],[Kappe Weiß]]=Limits!$R$29,1,""),"")</f>
        <v/>
      </c>
      <c r="C22" s="291">
        <v>0</v>
      </c>
      <c r="D22" s="171">
        <f>IF(Limits!$P$4=TRUE,1,0)</f>
        <v>0</v>
      </c>
      <c r="E22" s="172">
        <f>IF(Daten!$P22+Daten!$Q22+Daten!$S22=3,1,0)</f>
        <v>0</v>
      </c>
      <c r="F22" s="173">
        <f ca="1">IF(AND(Limits!$Q$21=TRUE,Daten!O22=1)=TRUE,1,0)</f>
        <v>0</v>
      </c>
      <c r="G22" s="174">
        <f>IF(AND(Limits!$Q$25=TRUE,Daten!N22=1)=TRUE,1,0)</f>
        <v>0</v>
      </c>
      <c r="H22" s="174">
        <f>IF(AND(Limits!$Q$24=TRUE,Daten!M22=1)=TRUE,1,0)</f>
        <v>0</v>
      </c>
      <c r="I22" s="174">
        <f>IF(AND(Limits!$Q$23=TRUE,Daten!L22=1)=TRUE,1,0)</f>
        <v>0</v>
      </c>
      <c r="J22" s="174">
        <f>IF(AND(Limits!$Q$22=TRUE,Daten!K22=1)=TRUE,1,0)</f>
        <v>0</v>
      </c>
      <c r="K22" s="188">
        <f>IF(Daten!$V22=13,1,0)</f>
        <v>1</v>
      </c>
      <c r="L22" s="189">
        <f>IF(Daten!$V22&lt;&gt;Daten!$W22,1,IF(Daten!$V22=14,1,0))</f>
        <v>1</v>
      </c>
      <c r="M22" s="189">
        <f>IF(Daten!$V22&lt;&gt;Daten!$W22,1,IF(Daten!$V22=16,1,0))</f>
        <v>1</v>
      </c>
      <c r="N22" s="189">
        <f>IF(Daten!$W22=17,1,0)</f>
        <v>1</v>
      </c>
      <c r="O22" s="190">
        <f ca="1">IF(Daten!$X22=Sprache!$A$70,1,0)</f>
        <v>0</v>
      </c>
      <c r="P22" s="191">
        <f>IF(AND(Daten!$AQ22&lt;=KINVARO!$AW$3,Daten!$AR22&gt;=KINVARO!$AW$3)=TRUE,1,0)</f>
        <v>1</v>
      </c>
      <c r="Q22" s="192">
        <f>IF(AND(Daten!$AA22&lt;=KINVARO!$AW$4,Daten!$AB22&gt;=KINVARO!$AW$4)=TRUE,1,0)</f>
        <v>0</v>
      </c>
      <c r="R22" s="192"/>
      <c r="S22" s="192">
        <f>IF(AND(Daten!$AD22&lt;=Limits!$I$70,Daten!$AE22&gt;=Limits!$I$70)=TRUE,1,0)</f>
        <v>0</v>
      </c>
      <c r="T22" s="193">
        <f ca="1">IF(Daten!$Y22=Sprache!$A$135,1,0)</f>
        <v>0</v>
      </c>
      <c r="U22" s="124" t="str">
        <f ca="1">Sprache!$A$60</f>
        <v>L-80 Вертикальный подъемник</v>
      </c>
      <c r="V22" s="194">
        <v>13</v>
      </c>
      <c r="W22" s="193">
        <v>17</v>
      </c>
      <c r="X22" s="187" t="str">
        <f ca="1">Sprache!$A$141</f>
        <v>Alu</v>
      </c>
      <c r="Y22" s="187" t="str">
        <f ca="1">Sprache!$A$136</f>
        <v>nein</v>
      </c>
      <c r="Z22" s="187" t="str">
        <f ca="1">Sprache!$A$106</f>
        <v>Korpus</v>
      </c>
      <c r="AA22" s="187">
        <v>410</v>
      </c>
      <c r="AB22" s="124">
        <v>429</v>
      </c>
      <c r="AC22" s="187"/>
      <c r="AD22" s="195">
        <v>4.5</v>
      </c>
      <c r="AE22" s="196">
        <v>8</v>
      </c>
      <c r="AF22" s="263" t="str">
        <f>MID(Tabelle2[[#This Row],[bnr full]],1,4)</f>
        <v>F152</v>
      </c>
      <c r="AG22" s="264" t="str">
        <f>MID(Tabelle2[[#This Row],[bnr full]],5,3)</f>
        <v>145</v>
      </c>
      <c r="AH22" s="265" t="str">
        <f>MID(Tabelle2[[#This Row],[bnr full]],8,3)</f>
        <v>281</v>
      </c>
      <c r="AI22" s="264" t="str">
        <f>MID(Tabelle2[[#This Row],[bnr full]],11,3)</f>
        <v>201</v>
      </c>
      <c r="AJ22" s="252" t="str">
        <f>MID(Tabelle2[[#This Row],[bnr full]],11,3)</f>
        <v>201</v>
      </c>
      <c r="AK22" s="197" t="s">
        <v>769</v>
      </c>
      <c r="AL22" s="124" t="str">
        <f ca="1">Sprache!$A$111</f>
        <v>Комплект (Л + П)</v>
      </c>
      <c r="AM22" s="187" t="str">
        <f ca="1">Sprache!$A$116</f>
        <v>Направляющий рычаг, тип 4</v>
      </c>
      <c r="AN22" s="187" t="str">
        <f ca="1">Sprache!$A$121</f>
        <v>Силовой механизм B</v>
      </c>
      <c r="AO22" s="187" t="str">
        <f ca="1">Sprache!$A$143</f>
        <v>Адаптер под алюминиевые рамки к комплекту Kinvaro L-80</v>
      </c>
      <c r="AP22" s="187" t="s">
        <v>814</v>
      </c>
      <c r="AQ22" s="187">
        <v>450</v>
      </c>
      <c r="AR22" s="124">
        <v>1200</v>
      </c>
      <c r="AS22" s="187"/>
      <c r="AT22" s="124"/>
      <c r="AU22"/>
      <c r="AV22"/>
      <c r="AY22"/>
      <c r="AZ22"/>
      <c r="BA22"/>
      <c r="BB22"/>
      <c r="BC22"/>
    </row>
    <row r="23" spans="1:55" s="5" customFormat="1" ht="15.75" hidden="1" thickBot="1" x14ac:dyDescent="0.3">
      <c r="A23" s="12" t="str">
        <f ca="1">IF(F23+G23+H23+I23+J23+D23+E23=3,IF(Tabelle2[[#This Row],[Kappe Weiß]]=Limits!$R$29,1,""),"")</f>
        <v/>
      </c>
      <c r="B23" s="12" t="str">
        <f ca="1">IF(G23+H23+I23+J23+E23+F23=2,IF(Tabelle2[[#This Row],[Kappe Weiß]]=Limits!$R$29,1,""),"")</f>
        <v/>
      </c>
      <c r="C23" s="291">
        <v>0</v>
      </c>
      <c r="D23" s="171">
        <f>IF(Limits!$P$4=TRUE,1,0)</f>
        <v>0</v>
      </c>
      <c r="E23" s="172">
        <f>IF(Daten!$P23+Daten!$Q23+Daten!$S23=3,1,0)</f>
        <v>0</v>
      </c>
      <c r="F23" s="173">
        <f ca="1">IF(AND(Limits!$Q$21=TRUE,Daten!O23=1)=TRUE,1,0)</f>
        <v>0</v>
      </c>
      <c r="G23" s="174">
        <f>IF(AND(Limits!$Q$25=TRUE,Daten!N23=1)=TRUE,1,0)</f>
        <v>0</v>
      </c>
      <c r="H23" s="174">
        <f>IF(AND(Limits!$Q$24=TRUE,Daten!M23=1)=TRUE,1,0)</f>
        <v>0</v>
      </c>
      <c r="I23" s="174">
        <f>IF(AND(Limits!$Q$23=TRUE,Daten!L23=1)=TRUE,1,0)</f>
        <v>0</v>
      </c>
      <c r="J23" s="174">
        <f>IF(AND(Limits!$Q$22=TRUE,Daten!K23=1)=TRUE,1,0)</f>
        <v>0</v>
      </c>
      <c r="K23" s="188">
        <f>IF(Daten!$V23=13,1,0)</f>
        <v>1</v>
      </c>
      <c r="L23" s="189">
        <f>IF(Daten!$V23&lt;&gt;Daten!$W23,1,IF(Daten!$V23=14,1,0))</f>
        <v>1</v>
      </c>
      <c r="M23" s="189">
        <f>IF(Daten!$V23&lt;&gt;Daten!$W23,1,IF(Daten!$V23=16,1,0))</f>
        <v>1</v>
      </c>
      <c r="N23" s="189">
        <f>IF(Daten!$W23=17,1,0)</f>
        <v>1</v>
      </c>
      <c r="O23" s="190">
        <f ca="1">IF(Daten!$X23=Sprache!$A$70,1,0)</f>
        <v>0</v>
      </c>
      <c r="P23" s="191">
        <f>IF(AND(Daten!$AQ23&lt;=KINVARO!$AW$3,Daten!$AR23&gt;=KINVARO!$AW$3)=TRUE,1,0)</f>
        <v>1</v>
      </c>
      <c r="Q23" s="192">
        <f>IF(AND(Daten!$AA23&lt;=KINVARO!$AW$4,Daten!$AB23&gt;=KINVARO!$AW$4)=TRUE,1,0)</f>
        <v>0</v>
      </c>
      <c r="R23" s="192"/>
      <c r="S23" s="192">
        <f>IF(AND(Daten!$AD23&lt;=Limits!$I$70,Daten!$AE23&gt;=Limits!$I$70)=TRUE,1,0)</f>
        <v>1</v>
      </c>
      <c r="T23" s="193">
        <f ca="1">IF(Daten!$Y23=Sprache!$A$135,1,0)</f>
        <v>0</v>
      </c>
      <c r="U23" s="124" t="str">
        <f ca="1">Sprache!$A$60</f>
        <v>L-80 Вертикальный подъемник</v>
      </c>
      <c r="V23" s="194">
        <v>13</v>
      </c>
      <c r="W23" s="193">
        <v>17</v>
      </c>
      <c r="X23" s="187" t="str">
        <f ca="1">Sprache!$A$141</f>
        <v>Alu</v>
      </c>
      <c r="Y23" s="187" t="str">
        <f ca="1">Sprache!$A$136</f>
        <v>nein</v>
      </c>
      <c r="Z23" s="187" t="str">
        <f ca="1">Sprache!$A$106</f>
        <v>Korpus</v>
      </c>
      <c r="AA23" s="187">
        <v>410</v>
      </c>
      <c r="AB23" s="124">
        <v>429</v>
      </c>
      <c r="AC23" s="187"/>
      <c r="AD23" s="195">
        <v>7.5</v>
      </c>
      <c r="AE23" s="196">
        <v>14.6</v>
      </c>
      <c r="AF23" s="263" t="str">
        <f>MID(Tabelle2[[#This Row],[bnr full]],1,4)</f>
        <v>F152</v>
      </c>
      <c r="AG23" s="264" t="str">
        <f>MID(Tabelle2[[#This Row],[bnr full]],5,3)</f>
        <v>145</v>
      </c>
      <c r="AH23" s="265" t="str">
        <f>MID(Tabelle2[[#This Row],[bnr full]],8,3)</f>
        <v>282</v>
      </c>
      <c r="AI23" s="264" t="str">
        <f>MID(Tabelle2[[#This Row],[bnr full]],11,3)</f>
        <v>201</v>
      </c>
      <c r="AJ23" s="252" t="str">
        <f>MID(Tabelle2[[#This Row],[bnr full]],11,3)</f>
        <v>201</v>
      </c>
      <c r="AK23" s="197" t="s">
        <v>770</v>
      </c>
      <c r="AL23" s="124" t="str">
        <f ca="1">Sprache!$A$111</f>
        <v>Комплект (Л + П)</v>
      </c>
      <c r="AM23" s="187" t="str">
        <f ca="1">Sprache!$A$116</f>
        <v>Направляющий рычаг, тип 4</v>
      </c>
      <c r="AN23" s="187" t="str">
        <f ca="1">Sprache!$A$122</f>
        <v>Силовой механизм C</v>
      </c>
      <c r="AO23" s="187" t="str">
        <f ca="1">Sprache!$A$143</f>
        <v>Адаптер под алюминиевые рамки к комплекту Kinvaro L-80</v>
      </c>
      <c r="AP23" s="187" t="s">
        <v>814</v>
      </c>
      <c r="AQ23" s="187">
        <v>450</v>
      </c>
      <c r="AR23" s="124">
        <v>1200</v>
      </c>
      <c r="AS23" s="187"/>
      <c r="AT23" s="124"/>
    </row>
    <row r="24" spans="1:55" ht="15.75" hidden="1" thickBot="1" x14ac:dyDescent="0.3">
      <c r="A24" s="12" t="str">
        <f ca="1">IF(F24+G24+H24+I24+J24+D24+E24=3,IF(Tabelle2[[#This Row],[Kappe Weiß]]=Limits!$R$29,1,""),"")</f>
        <v/>
      </c>
      <c r="B24" s="12" t="str">
        <f ca="1">IF(G24+H24+I24+J24+E24+F24=2,IF(Tabelle2[[#This Row],[Kappe Weiß]]=Limits!$R$29,1,""),"")</f>
        <v/>
      </c>
      <c r="C24" s="292">
        <v>0</v>
      </c>
      <c r="D24" s="171">
        <f>IF(Limits!$P$4=TRUE,1,0)</f>
        <v>0</v>
      </c>
      <c r="E24" s="172">
        <f>IF(Daten!$P24+Daten!$Q24+Daten!$S24=3,1,0)</f>
        <v>0</v>
      </c>
      <c r="F24" s="173">
        <f ca="1">IF(AND(Limits!$Q$21=TRUE,Daten!O24=1)=TRUE,1,0)</f>
        <v>1</v>
      </c>
      <c r="G24" s="174">
        <f ca="1">IF(AND(Limits!$Q$25=TRUE,Daten!N24=1)=TRUE,1,0)</f>
        <v>0</v>
      </c>
      <c r="H24" s="174">
        <f ca="1">IF(AND(Limits!$Q$24=TRUE,Daten!M24=1)=TRUE,1,0)</f>
        <v>0</v>
      </c>
      <c r="I24" s="174">
        <f ca="1">IF(AND(Limits!$Q$23=TRUE,Daten!L24=1)=TRUE,1,0)</f>
        <v>0</v>
      </c>
      <c r="J24" s="174">
        <f ca="1">IF(AND(Limits!$Q$22=TRUE,Daten!K24=1)=TRUE,1,0)</f>
        <v>0</v>
      </c>
      <c r="K24" s="188">
        <f ca="1">IF(Daten!$V24=13,1,0)</f>
        <v>0</v>
      </c>
      <c r="L24" s="189">
        <f ca="1">IF(Daten!$V24&lt;&gt;Daten!$W24,1,IF(Daten!$V24=14,1,0))</f>
        <v>0</v>
      </c>
      <c r="M24" s="189">
        <f ca="1">IF(Daten!$V24&lt;&gt;Daten!$W24,1,IF(Daten!$V24=16,1,0))</f>
        <v>0</v>
      </c>
      <c r="N24" s="189">
        <f ca="1">IF(Daten!$W24=17,1,0)</f>
        <v>0</v>
      </c>
      <c r="O24" s="190">
        <f ca="1">IF(Daten!$X24=Sprache!$A$70,1,0)</f>
        <v>1</v>
      </c>
      <c r="P24" s="198">
        <f>IF(AND(Daten!$AQ24&lt;=KINVARO!$AW$3,Daten!$AR24&gt;=KINVARO!$AW$3)=TRUE,1,0)</f>
        <v>1</v>
      </c>
      <c r="Q24" s="199">
        <f>IF(AND(Daten!$AA24&lt;=KINVARO!$AW$4,Daten!$AB24&gt;=KINVARO!$AW$4)=TRUE,1,0)</f>
        <v>0</v>
      </c>
      <c r="R24" s="199"/>
      <c r="S24" s="199">
        <f>IF(AND(Daten!$AD24&lt;=Limits!$I$70,Daten!$AE24&gt;=Limits!$I$70)=TRUE,1,0)</f>
        <v>0</v>
      </c>
      <c r="T24" s="200">
        <f ca="1">IF(Daten!$Y24=Sprache!$A$135,1,0)</f>
        <v>0</v>
      </c>
      <c r="U24" s="201" t="str">
        <f ca="1">Sprache!$A$60</f>
        <v>L-80 Вертикальный подъемник</v>
      </c>
      <c r="V24" s="202" t="str">
        <f ca="1">Sprache!$A$74</f>
        <v>var</v>
      </c>
      <c r="W24" s="200" t="str">
        <f ca="1">Sprache!$A$74</f>
        <v>var</v>
      </c>
      <c r="X24" s="203" t="str">
        <f ca="1">Sprache!$A$70</f>
        <v>соединение с древесиной</v>
      </c>
      <c r="Y24" s="187" t="str">
        <f ca="1">Sprache!$A$136</f>
        <v>nein</v>
      </c>
      <c r="Z24" s="203" t="str">
        <f ca="1">Sprache!$A$106</f>
        <v>Korpus</v>
      </c>
      <c r="AA24" s="203">
        <v>430</v>
      </c>
      <c r="AB24" s="201">
        <v>600</v>
      </c>
      <c r="AC24" s="203"/>
      <c r="AD24" s="204">
        <v>2</v>
      </c>
      <c r="AE24" s="205">
        <v>4.5</v>
      </c>
      <c r="AF24" s="266" t="str">
        <f>MID(Tabelle2[[#This Row],[bnr full]],1,4)</f>
        <v>F152</v>
      </c>
      <c r="AG24" s="267" t="str">
        <f>MID(Tabelle2[[#This Row],[bnr full]],5,3)</f>
        <v>147</v>
      </c>
      <c r="AH24" s="268" t="str">
        <f>MID(Tabelle2[[#This Row],[bnr full]],8,3)</f>
        <v>443</v>
      </c>
      <c r="AI24" s="267" t="str">
        <f>MID(Tabelle2[[#This Row],[bnr full]],11,3)</f>
        <v>201</v>
      </c>
      <c r="AJ24" s="253" t="str">
        <f>MID(Tabelle2[[#This Row],[bnr full]],11,3)</f>
        <v>201</v>
      </c>
      <c r="AK24" s="206" t="s">
        <v>771</v>
      </c>
      <c r="AL24" s="201" t="str">
        <f ca="1">Sprache!$A$111</f>
        <v>Комплект (Л + П)</v>
      </c>
      <c r="AM24" s="203" t="str">
        <f ca="1">Sprache!$A$117</f>
        <v>Направляющий рычаг, тип 5</v>
      </c>
      <c r="AN24" s="203" t="str">
        <f ca="1">Sprache!$A$120</f>
        <v>Силовой механизм A</v>
      </c>
      <c r="AO24" s="203" t="s">
        <v>25</v>
      </c>
      <c r="AP24" s="203" t="s">
        <v>25</v>
      </c>
      <c r="AQ24" s="203">
        <v>450</v>
      </c>
      <c r="AR24" s="201">
        <v>1200</v>
      </c>
      <c r="AS24" s="187"/>
      <c r="AT24" s="124"/>
      <c r="AU24"/>
      <c r="AV24"/>
      <c r="AY24"/>
      <c r="AZ24"/>
      <c r="BA24"/>
      <c r="BB24"/>
      <c r="BC24"/>
    </row>
    <row r="25" spans="1:55" ht="15.75" hidden="1" thickBot="1" x14ac:dyDescent="0.3">
      <c r="A25" s="12" t="str">
        <f ca="1">IF(F25+G25+H25+I25+J25+D25+E25=3,IF(Tabelle2[[#This Row],[Kappe Weiß]]=Limits!$R$29,1,""),"")</f>
        <v/>
      </c>
      <c r="B25" s="12" t="str">
        <f ca="1">IF(G25+H25+I25+J25+E25+F25=2,IF(Tabelle2[[#This Row],[Kappe Weiß]]=Limits!$R$29,1,""),"")</f>
        <v/>
      </c>
      <c r="C25" s="291">
        <v>0</v>
      </c>
      <c r="D25" s="171">
        <f>IF(Limits!$P$4=TRUE,1,0)</f>
        <v>0</v>
      </c>
      <c r="E25" s="172">
        <f>IF(Daten!$P25+Daten!$Q25+Daten!$S25=3,1,0)</f>
        <v>0</v>
      </c>
      <c r="F25" s="173">
        <f ca="1">IF(AND(Limits!$Q$21=TRUE,Daten!O25=1)=TRUE,1,0)</f>
        <v>1</v>
      </c>
      <c r="G25" s="174">
        <f ca="1">IF(AND(Limits!$Q$25=TRUE,Daten!N25=1)=TRUE,1,0)</f>
        <v>0</v>
      </c>
      <c r="H25" s="174">
        <f ca="1">IF(AND(Limits!$Q$24=TRUE,Daten!M25=1)=TRUE,1,0)</f>
        <v>0</v>
      </c>
      <c r="I25" s="174">
        <f ca="1">IF(AND(Limits!$Q$23=TRUE,Daten!L25=1)=TRUE,1,0)</f>
        <v>0</v>
      </c>
      <c r="J25" s="174">
        <f ca="1">IF(AND(Limits!$Q$22=TRUE,Daten!K25=1)=TRUE,1,0)</f>
        <v>0</v>
      </c>
      <c r="K25" s="188">
        <f ca="1">IF(Daten!$V25=13,1,0)</f>
        <v>0</v>
      </c>
      <c r="L25" s="189">
        <f ca="1">IF(Daten!$V25&lt;&gt;Daten!$W25,1,IF(Daten!$V25=14,1,0))</f>
        <v>0</v>
      </c>
      <c r="M25" s="189">
        <f ca="1">IF(Daten!$V25&lt;&gt;Daten!$W25,1,IF(Daten!$V25=16,1,0))</f>
        <v>0</v>
      </c>
      <c r="N25" s="189">
        <f ca="1">IF(Daten!$W25=17,1,0)</f>
        <v>0</v>
      </c>
      <c r="O25" s="190">
        <f ca="1">IF(Daten!$X25=Sprache!$A$70,1,0)</f>
        <v>1</v>
      </c>
      <c r="P25" s="191">
        <f>IF(AND(Daten!$AQ25&lt;=KINVARO!$AW$3,Daten!$AR25&gt;=KINVARO!$AW$3)=TRUE,1,0)</f>
        <v>1</v>
      </c>
      <c r="Q25" s="192">
        <f>IF(AND(Daten!$AA25&lt;=KINVARO!$AW$4,Daten!$AB25&gt;=KINVARO!$AW$4)=TRUE,1,0)</f>
        <v>0</v>
      </c>
      <c r="R25" s="192"/>
      <c r="S25" s="192">
        <f>IF(AND(Daten!$AD25&lt;=Limits!$I$70,Daten!$AE25&gt;=Limits!$I$70)=TRUE,1,0)</f>
        <v>0</v>
      </c>
      <c r="T25" s="193">
        <f ca="1">IF(Daten!$Y25=Sprache!$A$135,1,0)</f>
        <v>0</v>
      </c>
      <c r="U25" s="124" t="str">
        <f ca="1">Sprache!$A$60</f>
        <v>L-80 Вертикальный подъемник</v>
      </c>
      <c r="V25" s="194" t="str">
        <f ca="1">Sprache!$A$74</f>
        <v>var</v>
      </c>
      <c r="W25" s="193" t="str">
        <f ca="1">Sprache!$A$74</f>
        <v>var</v>
      </c>
      <c r="X25" s="187" t="str">
        <f ca="1">Sprache!$A$70</f>
        <v>соединение с древесиной</v>
      </c>
      <c r="Y25" s="187" t="str">
        <f ca="1">Sprache!$A$136</f>
        <v>nein</v>
      </c>
      <c r="Z25" s="187" t="str">
        <f ca="1">Sprache!$A$106</f>
        <v>Korpus</v>
      </c>
      <c r="AA25" s="187">
        <v>430</v>
      </c>
      <c r="AB25" s="124">
        <v>600</v>
      </c>
      <c r="AC25" s="187"/>
      <c r="AD25" s="195">
        <v>4</v>
      </c>
      <c r="AE25" s="196">
        <v>7.5</v>
      </c>
      <c r="AF25" s="263" t="str">
        <f>MID(Tabelle2[[#This Row],[bnr full]],1,4)</f>
        <v>F152</v>
      </c>
      <c r="AG25" s="264" t="str">
        <f>MID(Tabelle2[[#This Row],[bnr full]],5,3)</f>
        <v>145</v>
      </c>
      <c r="AH25" s="265" t="str">
        <f>MID(Tabelle2[[#This Row],[bnr full]],8,3)</f>
        <v>253</v>
      </c>
      <c r="AI25" s="264" t="str">
        <f>MID(Tabelle2[[#This Row],[bnr full]],11,3)</f>
        <v>201</v>
      </c>
      <c r="AJ25" s="252" t="str">
        <f>MID(Tabelle2[[#This Row],[bnr full]],11,3)</f>
        <v>201</v>
      </c>
      <c r="AK25" s="197" t="s">
        <v>772</v>
      </c>
      <c r="AL25" s="124" t="str">
        <f ca="1">Sprache!$A$111</f>
        <v>Комплект (Л + П)</v>
      </c>
      <c r="AM25" s="187" t="str">
        <f ca="1">Sprache!$A$117</f>
        <v>Направляющий рычаг, тип 5</v>
      </c>
      <c r="AN25" s="187" t="str">
        <f ca="1">Sprache!$A$121</f>
        <v>Силовой механизм B</v>
      </c>
      <c r="AO25" s="187" t="s">
        <v>25</v>
      </c>
      <c r="AP25" s="187" t="s">
        <v>25</v>
      </c>
      <c r="AQ25" s="187">
        <v>450</v>
      </c>
      <c r="AR25" s="124">
        <v>1200</v>
      </c>
      <c r="AS25" s="187"/>
      <c r="AT25" s="124"/>
      <c r="AU25"/>
      <c r="AV25"/>
      <c r="AY25"/>
      <c r="AZ25"/>
      <c r="BA25"/>
      <c r="BB25"/>
      <c r="BC25"/>
    </row>
    <row r="26" spans="1:55" ht="15.75" hidden="1" thickBot="1" x14ac:dyDescent="0.3">
      <c r="A26" s="12" t="str">
        <f ca="1">IF(F26+G26+H26+I26+J26+D26+E26=3,IF(Tabelle2[[#This Row],[Kappe Weiß]]=Limits!$R$29,1,""),"")</f>
        <v/>
      </c>
      <c r="B26" s="12" t="str">
        <f ca="1">IF(G26+H26+I26+J26+E26+F26=2,IF(Tabelle2[[#This Row],[Kappe Weiß]]=Limits!$R$29,1,""),"")</f>
        <v/>
      </c>
      <c r="C26" s="291">
        <v>0</v>
      </c>
      <c r="D26" s="171">
        <f>IF(Limits!$P$4=TRUE,1,0)</f>
        <v>0</v>
      </c>
      <c r="E26" s="172">
        <f>IF(Daten!$P26+Daten!$Q26+Daten!$S26=3,1,0)</f>
        <v>0</v>
      </c>
      <c r="F26" s="173">
        <f ca="1">IF(AND(Limits!$Q$21=TRUE,Daten!O26=1)=TRUE,1,0)</f>
        <v>1</v>
      </c>
      <c r="G26" s="174">
        <f ca="1">IF(AND(Limits!$Q$25=TRUE,Daten!N26=1)=TRUE,1,0)</f>
        <v>0</v>
      </c>
      <c r="H26" s="174">
        <f ca="1">IF(AND(Limits!$Q$24=TRUE,Daten!M26=1)=TRUE,1,0)</f>
        <v>0</v>
      </c>
      <c r="I26" s="174">
        <f ca="1">IF(AND(Limits!$Q$23=TRUE,Daten!L26=1)=TRUE,1,0)</f>
        <v>0</v>
      </c>
      <c r="J26" s="174">
        <f ca="1">IF(AND(Limits!$Q$22=TRUE,Daten!K26=1)=TRUE,1,0)</f>
        <v>0</v>
      </c>
      <c r="K26" s="188">
        <f ca="1">IF(Daten!$V26=13,1,0)</f>
        <v>0</v>
      </c>
      <c r="L26" s="189">
        <f ca="1">IF(Daten!$V26&lt;&gt;Daten!$W26,1,IF(Daten!$V26=14,1,0))</f>
        <v>0</v>
      </c>
      <c r="M26" s="189">
        <f ca="1">IF(Daten!$V26&lt;&gt;Daten!$W26,1,IF(Daten!$V26=16,1,0))</f>
        <v>0</v>
      </c>
      <c r="N26" s="189">
        <f ca="1">IF(Daten!$W26=17,1,0)</f>
        <v>0</v>
      </c>
      <c r="O26" s="190">
        <f ca="1">IF(Daten!$X26=Sprache!$A$70,1,0)</f>
        <v>1</v>
      </c>
      <c r="P26" s="191">
        <f>IF(AND(Daten!$AQ26&lt;=KINVARO!$AW$3,Daten!$AR26&gt;=KINVARO!$AW$3)=TRUE,1,0)</f>
        <v>1</v>
      </c>
      <c r="Q26" s="192">
        <f>IF(AND(Daten!$AA26&lt;=KINVARO!$AW$4,Daten!$AB26&gt;=KINVARO!$AW$4)=TRUE,1,0)</f>
        <v>0</v>
      </c>
      <c r="R26" s="192"/>
      <c r="S26" s="192">
        <f>IF(AND(Daten!$AD26&lt;=Limits!$I$70,Daten!$AE26&gt;=Limits!$I$70)=TRUE,1,0)</f>
        <v>1</v>
      </c>
      <c r="T26" s="193">
        <f ca="1">IF(Daten!$Y26=Sprache!$A$135,1,0)</f>
        <v>0</v>
      </c>
      <c r="U26" s="124" t="str">
        <f ca="1">Sprache!$A$60</f>
        <v>L-80 Вертикальный подъемник</v>
      </c>
      <c r="V26" s="194" t="str">
        <f ca="1">Sprache!$A$74</f>
        <v>var</v>
      </c>
      <c r="W26" s="193" t="str">
        <f ca="1">Sprache!$A$74</f>
        <v>var</v>
      </c>
      <c r="X26" s="187" t="str">
        <f ca="1">Sprache!$A$70</f>
        <v>соединение с древесиной</v>
      </c>
      <c r="Y26" s="187" t="str">
        <f ca="1">Sprache!$A$136</f>
        <v>nein</v>
      </c>
      <c r="Z26" s="187" t="str">
        <f ca="1">Sprache!$A$106</f>
        <v>Korpus</v>
      </c>
      <c r="AA26" s="187">
        <v>430</v>
      </c>
      <c r="AB26" s="124">
        <v>600</v>
      </c>
      <c r="AC26" s="187"/>
      <c r="AD26" s="195">
        <v>7</v>
      </c>
      <c r="AE26" s="196">
        <v>14.6</v>
      </c>
      <c r="AF26" s="263" t="str">
        <f>MID(Tabelle2[[#This Row],[bnr full]],1,4)</f>
        <v>F152</v>
      </c>
      <c r="AG26" s="264" t="str">
        <f>MID(Tabelle2[[#This Row],[bnr full]],5,3)</f>
        <v>145</v>
      </c>
      <c r="AH26" s="265" t="str">
        <f>MID(Tabelle2[[#This Row],[bnr full]],8,3)</f>
        <v>254</v>
      </c>
      <c r="AI26" s="264" t="str">
        <f>MID(Tabelle2[[#This Row],[bnr full]],11,3)</f>
        <v>201</v>
      </c>
      <c r="AJ26" s="252" t="str">
        <f>MID(Tabelle2[[#This Row],[bnr full]],11,3)</f>
        <v>201</v>
      </c>
      <c r="AK26" s="197" t="s">
        <v>773</v>
      </c>
      <c r="AL26" s="124" t="str">
        <f ca="1">Sprache!$A$111</f>
        <v>Комплект (Л + П)</v>
      </c>
      <c r="AM26" s="187" t="str">
        <f ca="1">Sprache!$A$117</f>
        <v>Направляющий рычаг, тип 5</v>
      </c>
      <c r="AN26" s="187" t="str">
        <f ca="1">Sprache!$A$122</f>
        <v>Силовой механизм C</v>
      </c>
      <c r="AO26" s="187" t="s">
        <v>25</v>
      </c>
      <c r="AP26" s="187" t="s">
        <v>25</v>
      </c>
      <c r="AQ26" s="187">
        <v>450</v>
      </c>
      <c r="AR26" s="124">
        <v>1200</v>
      </c>
      <c r="AS26" s="187"/>
      <c r="AT26" s="124"/>
      <c r="AU26"/>
      <c r="AV26"/>
      <c r="AY26"/>
      <c r="AZ26"/>
      <c r="BA26"/>
      <c r="BB26"/>
      <c r="BC26"/>
    </row>
    <row r="27" spans="1:55" ht="15.75" hidden="1" thickBot="1" x14ac:dyDescent="0.3">
      <c r="A27" s="12" t="str">
        <f ca="1">IF(F27+G27+H27+I27+J27+D27+E27=3,IF(Tabelle2[[#This Row],[Kappe Weiß]]=Limits!$R$29,1,""),"")</f>
        <v/>
      </c>
      <c r="B27" s="12" t="str">
        <f ca="1">IF(G27+H27+I27+J27+E27+F27=2,IF(Tabelle2[[#This Row],[Kappe Weiß]]=Limits!$R$29,1,""),"")</f>
        <v/>
      </c>
      <c r="C27" s="291">
        <v>0</v>
      </c>
      <c r="D27" s="171">
        <f>IF(Limits!$P$4=TRUE,1,0)</f>
        <v>0</v>
      </c>
      <c r="E27" s="172">
        <f>IF(Daten!$P27+Daten!$Q27+Daten!$S27=3,1,0)</f>
        <v>0</v>
      </c>
      <c r="F27" s="173">
        <f ca="1">IF(AND(Limits!$Q$21=TRUE,Daten!O27=1)=TRUE,1,0)</f>
        <v>0</v>
      </c>
      <c r="G27" s="174">
        <f>IF(AND(Limits!$Q$25=TRUE,Daten!N27=1)=TRUE,1,0)</f>
        <v>0</v>
      </c>
      <c r="H27" s="174">
        <f>IF(AND(Limits!$Q$24=TRUE,Daten!M27=1)=TRUE,1,0)</f>
        <v>0</v>
      </c>
      <c r="I27" s="174">
        <f>IF(AND(Limits!$Q$23=TRUE,Daten!L27=1)=TRUE,1,0)</f>
        <v>0</v>
      </c>
      <c r="J27" s="174">
        <f>IF(AND(Limits!$Q$22=TRUE,Daten!K27=1)=TRUE,1,0)</f>
        <v>0</v>
      </c>
      <c r="K27" s="188">
        <f>IF(Daten!$V27=13,1,0)</f>
        <v>1</v>
      </c>
      <c r="L27" s="189">
        <f>IF(Daten!$V27&lt;&gt;Daten!$W27,1,IF(Daten!$V27=14,1,0))</f>
        <v>1</v>
      </c>
      <c r="M27" s="189">
        <f>IF(Daten!$V27&lt;&gt;Daten!$W27,1,IF(Daten!$V27=16,1,0))</f>
        <v>1</v>
      </c>
      <c r="N27" s="189">
        <f>IF(Daten!$W27=17,1,0)</f>
        <v>1</v>
      </c>
      <c r="O27" s="190">
        <f ca="1">IF(Daten!$X27=Sprache!$A$70,1,0)</f>
        <v>0</v>
      </c>
      <c r="P27" s="191">
        <f>IF(AND(Daten!$AQ27&lt;=KINVARO!$AW$3,Daten!$AR27&gt;=KINVARO!$AW$3)=TRUE,1,0)</f>
        <v>1</v>
      </c>
      <c r="Q27" s="192">
        <f>IF(AND(Daten!$AA27&lt;=KINVARO!$AW$4,Daten!$AB27&gt;=KINVARO!$AW$4)=TRUE,1,0)</f>
        <v>0</v>
      </c>
      <c r="R27" s="192"/>
      <c r="S27" s="192">
        <f>IF(AND(Daten!$AD27&lt;=Limits!$I$70,Daten!$AE27&gt;=Limits!$I$70)=TRUE,1,0)</f>
        <v>0</v>
      </c>
      <c r="T27" s="193">
        <f ca="1">IF(Daten!$Y27=Sprache!$A$135,1,0)</f>
        <v>0</v>
      </c>
      <c r="U27" s="124" t="str">
        <f ca="1">Sprache!$A$60</f>
        <v>L-80 Вертикальный подъемник</v>
      </c>
      <c r="V27" s="194">
        <v>13</v>
      </c>
      <c r="W27" s="193">
        <v>17</v>
      </c>
      <c r="X27" s="187" t="str">
        <f ca="1">Sprache!$A$141</f>
        <v>Alu</v>
      </c>
      <c r="Y27" s="187" t="str">
        <f ca="1">Sprache!$A$136</f>
        <v>nein</v>
      </c>
      <c r="Z27" s="187" t="str">
        <f ca="1">Sprache!$A$106</f>
        <v>Korpus</v>
      </c>
      <c r="AA27" s="187">
        <v>430</v>
      </c>
      <c r="AB27" s="124">
        <v>600</v>
      </c>
      <c r="AC27" s="187"/>
      <c r="AD27" s="195">
        <v>2</v>
      </c>
      <c r="AE27" s="196">
        <v>4.5</v>
      </c>
      <c r="AF27" s="263" t="str">
        <f>MID(Tabelle2[[#This Row],[bnr full]],1,4)</f>
        <v>F152</v>
      </c>
      <c r="AG27" s="264" t="str">
        <f>MID(Tabelle2[[#This Row],[bnr full]],5,3)</f>
        <v>147</v>
      </c>
      <c r="AH27" s="265" t="str">
        <f>MID(Tabelle2[[#This Row],[bnr full]],8,3)</f>
        <v>443</v>
      </c>
      <c r="AI27" s="264" t="str">
        <f>MID(Tabelle2[[#This Row],[bnr full]],11,3)</f>
        <v>201</v>
      </c>
      <c r="AJ27" s="252" t="str">
        <f>MID(Tabelle2[[#This Row],[bnr full]],11,3)</f>
        <v>201</v>
      </c>
      <c r="AK27" s="197" t="s">
        <v>771</v>
      </c>
      <c r="AL27" s="124" t="str">
        <f ca="1">Sprache!$A$111</f>
        <v>Комплект (Л + П)</v>
      </c>
      <c r="AM27" s="187" t="str">
        <f ca="1">Sprache!$A$117</f>
        <v>Направляющий рычаг, тип 5</v>
      </c>
      <c r="AN27" s="187" t="str">
        <f ca="1">Sprache!$A$120</f>
        <v>Силовой механизм A</v>
      </c>
      <c r="AO27" s="187" t="str">
        <f ca="1">Sprache!$A$143</f>
        <v>Адаптер под алюминиевые рамки к комплекту Kinvaro L-80</v>
      </c>
      <c r="AP27" s="187" t="s">
        <v>814</v>
      </c>
      <c r="AQ27" s="187">
        <v>450</v>
      </c>
      <c r="AR27" s="124">
        <v>1200</v>
      </c>
      <c r="AS27" s="187"/>
      <c r="AT27" s="124"/>
      <c r="AU27"/>
      <c r="AV27"/>
      <c r="AY27"/>
      <c r="AZ27"/>
      <c r="BA27"/>
      <c r="BB27"/>
      <c r="BC27"/>
    </row>
    <row r="28" spans="1:55" ht="15.75" hidden="1" thickBot="1" x14ac:dyDescent="0.3">
      <c r="A28" s="12" t="str">
        <f ca="1">IF(F28+G28+H28+I28+J28+D28+E28=3,IF(Tabelle2[[#This Row],[Kappe Weiß]]=Limits!$R$29,1,""),"")</f>
        <v/>
      </c>
      <c r="B28" s="12" t="str">
        <f ca="1">IF(G28+H28+I28+J28+E28+F28=2,IF(Tabelle2[[#This Row],[Kappe Weiß]]=Limits!$R$29,1,""),"")</f>
        <v/>
      </c>
      <c r="C28" s="291">
        <v>0</v>
      </c>
      <c r="D28" s="171">
        <f>IF(Limits!$P$4=TRUE,1,0)</f>
        <v>0</v>
      </c>
      <c r="E28" s="172">
        <f>IF(Daten!$P28+Daten!$Q28+Daten!$S28=3,1,0)</f>
        <v>0</v>
      </c>
      <c r="F28" s="173">
        <f ca="1">IF(AND(Limits!$Q$21=TRUE,Daten!O28=1)=TRUE,1,0)</f>
        <v>0</v>
      </c>
      <c r="G28" s="174">
        <f>IF(AND(Limits!$Q$25=TRUE,Daten!N28=1)=TRUE,1,0)</f>
        <v>0</v>
      </c>
      <c r="H28" s="174">
        <f>IF(AND(Limits!$Q$24=TRUE,Daten!M28=1)=TRUE,1,0)</f>
        <v>0</v>
      </c>
      <c r="I28" s="174">
        <f>IF(AND(Limits!$Q$23=TRUE,Daten!L28=1)=TRUE,1,0)</f>
        <v>0</v>
      </c>
      <c r="J28" s="174">
        <f>IF(AND(Limits!$Q$22=TRUE,Daten!K28=1)=TRUE,1,0)</f>
        <v>0</v>
      </c>
      <c r="K28" s="188">
        <f>IF(Daten!$V28=13,1,0)</f>
        <v>1</v>
      </c>
      <c r="L28" s="189">
        <f>IF(Daten!$V28&lt;&gt;Daten!$W28,1,IF(Daten!$V28=14,1,0))</f>
        <v>1</v>
      </c>
      <c r="M28" s="189">
        <f>IF(Daten!$V28&lt;&gt;Daten!$W28,1,IF(Daten!$V28=16,1,0))</f>
        <v>1</v>
      </c>
      <c r="N28" s="189">
        <f>IF(Daten!$W28=17,1,0)</f>
        <v>1</v>
      </c>
      <c r="O28" s="190">
        <f ca="1">IF(Daten!$X28=Sprache!$A$70,1,0)</f>
        <v>0</v>
      </c>
      <c r="P28" s="191">
        <f>IF(AND(Daten!$AQ28&lt;=KINVARO!$AW$3,Daten!$AR28&gt;=KINVARO!$AW$3)=TRUE,1,0)</f>
        <v>1</v>
      </c>
      <c r="Q28" s="192">
        <f>IF(AND(Daten!$AA28&lt;=KINVARO!$AW$4,Daten!$AB28&gt;=KINVARO!$AW$4)=TRUE,1,0)</f>
        <v>0</v>
      </c>
      <c r="R28" s="192"/>
      <c r="S28" s="192">
        <f>IF(AND(Daten!$AD28&lt;=Limits!$I$70,Daten!$AE28&gt;=Limits!$I$70)=TRUE,1,0)</f>
        <v>0</v>
      </c>
      <c r="T28" s="193">
        <f ca="1">IF(Daten!$Y28=Sprache!$A$135,1,0)</f>
        <v>0</v>
      </c>
      <c r="U28" s="124" t="str">
        <f ca="1">Sprache!$A$60</f>
        <v>L-80 Вертикальный подъемник</v>
      </c>
      <c r="V28" s="194">
        <v>13</v>
      </c>
      <c r="W28" s="193">
        <v>17</v>
      </c>
      <c r="X28" s="187" t="str">
        <f ca="1">Sprache!$A$141</f>
        <v>Alu</v>
      </c>
      <c r="Y28" s="187" t="str">
        <f ca="1">Sprache!$A$136</f>
        <v>nein</v>
      </c>
      <c r="Z28" s="187" t="str">
        <f ca="1">Sprache!$A$106</f>
        <v>Korpus</v>
      </c>
      <c r="AA28" s="187">
        <v>430</v>
      </c>
      <c r="AB28" s="124">
        <v>600</v>
      </c>
      <c r="AC28" s="187"/>
      <c r="AD28" s="195">
        <v>4</v>
      </c>
      <c r="AE28" s="196">
        <v>7.5</v>
      </c>
      <c r="AF28" s="263" t="str">
        <f>MID(Tabelle2[[#This Row],[bnr full]],1,4)</f>
        <v>F152</v>
      </c>
      <c r="AG28" s="264" t="str">
        <f>MID(Tabelle2[[#This Row],[bnr full]],5,3)</f>
        <v>145</v>
      </c>
      <c r="AH28" s="265" t="str">
        <f>MID(Tabelle2[[#This Row],[bnr full]],8,3)</f>
        <v>253</v>
      </c>
      <c r="AI28" s="264" t="str">
        <f>MID(Tabelle2[[#This Row],[bnr full]],11,3)</f>
        <v>201</v>
      </c>
      <c r="AJ28" s="252" t="str">
        <f>MID(Tabelle2[[#This Row],[bnr full]],11,3)</f>
        <v>201</v>
      </c>
      <c r="AK28" s="197" t="s">
        <v>772</v>
      </c>
      <c r="AL28" s="124" t="str">
        <f ca="1">Sprache!$A$111</f>
        <v>Комплект (Л + П)</v>
      </c>
      <c r="AM28" s="187" t="str">
        <f ca="1">Sprache!$A$117</f>
        <v>Направляющий рычаг, тип 5</v>
      </c>
      <c r="AN28" s="187" t="str">
        <f ca="1">Sprache!$A$121</f>
        <v>Силовой механизм B</v>
      </c>
      <c r="AO28" s="187" t="str">
        <f ca="1">Sprache!$A$143</f>
        <v>Адаптер под алюминиевые рамки к комплекту Kinvaro L-80</v>
      </c>
      <c r="AP28" s="187" t="s">
        <v>814</v>
      </c>
      <c r="AQ28" s="187">
        <v>450</v>
      </c>
      <c r="AR28" s="124">
        <v>1200</v>
      </c>
      <c r="AS28" s="187"/>
      <c r="AT28" s="124"/>
      <c r="AU28"/>
      <c r="AV28"/>
      <c r="AY28"/>
      <c r="AZ28"/>
      <c r="BA28"/>
      <c r="BB28"/>
      <c r="BC28"/>
    </row>
    <row r="29" spans="1:55" s="8" customFormat="1" ht="15.75" hidden="1" thickBot="1" x14ac:dyDescent="0.3">
      <c r="A29" s="12" t="str">
        <f ca="1">IF(F29+G29+H29+I29+J29+D29+E29=3,IF(Tabelle2[[#This Row],[Kappe Weiß]]=Limits!$R$29,1,""),"")</f>
        <v/>
      </c>
      <c r="B29" s="12" t="str">
        <f ca="1">IF(G29+H29+I29+J29+E29+F29=2,IF(Tabelle2[[#This Row],[Kappe Weiß]]=Limits!$R$29,1,""),"")</f>
        <v/>
      </c>
      <c r="C29" s="291">
        <v>0</v>
      </c>
      <c r="D29" s="207">
        <f>IF(Limits!$P$4=TRUE,1,0)</f>
        <v>0</v>
      </c>
      <c r="E29" s="172">
        <f>IF(Daten!$P29+Daten!$Q29+Daten!$S29=3,1,0)</f>
        <v>0</v>
      </c>
      <c r="F29" s="173">
        <f ca="1">IF(AND(Limits!$Q$21=TRUE,Daten!O29=1)=TRUE,1,0)</f>
        <v>0</v>
      </c>
      <c r="G29" s="174">
        <f>IF(AND(Limits!$Q$25=TRUE,Daten!N29=1)=TRUE,1,0)</f>
        <v>0</v>
      </c>
      <c r="H29" s="174">
        <f>IF(AND(Limits!$Q$24=TRUE,Daten!M29=1)=TRUE,1,0)</f>
        <v>0</v>
      </c>
      <c r="I29" s="174">
        <f>IF(AND(Limits!$Q$23=TRUE,Daten!L29=1)=TRUE,1,0)</f>
        <v>0</v>
      </c>
      <c r="J29" s="174">
        <f>IF(AND(Limits!$Q$22=TRUE,Daten!K29=1)=TRUE,1,0)</f>
        <v>0</v>
      </c>
      <c r="K29" s="188">
        <f>IF(Daten!$V29=13,1,0)</f>
        <v>1</v>
      </c>
      <c r="L29" s="189">
        <f>IF(Daten!$V29&lt;&gt;Daten!$W29,1,IF(Daten!$V29=14,1,0))</f>
        <v>1</v>
      </c>
      <c r="M29" s="189">
        <f>IF(Daten!$V29&lt;&gt;Daten!$W29,1,IF(Daten!$V29=16,1,0))</f>
        <v>1</v>
      </c>
      <c r="N29" s="189">
        <f>IF(Daten!$W29=17,1,0)</f>
        <v>1</v>
      </c>
      <c r="O29" s="190">
        <f ca="1">IF(Daten!$X29=Sprache!$A$70,1,0)</f>
        <v>0</v>
      </c>
      <c r="P29" s="191">
        <f>IF(AND(Daten!$AQ29&lt;=KINVARO!$AW$3,Daten!$AR29&gt;=KINVARO!$AW$3)=TRUE,1,0)</f>
        <v>1</v>
      </c>
      <c r="Q29" s="192">
        <f>IF(AND(Daten!$AA29&lt;=KINVARO!$AW$4,Daten!$AB29&gt;=KINVARO!$AW$4)=TRUE,1,0)</f>
        <v>0</v>
      </c>
      <c r="R29" s="192"/>
      <c r="S29" s="192">
        <f>IF(AND(Daten!$AD29&lt;=Limits!$I$70,Daten!$AE29&gt;=Limits!$I$70)=TRUE,1,0)</f>
        <v>1</v>
      </c>
      <c r="T29" s="193">
        <f ca="1">IF(Daten!$Y29=Sprache!$A$135,1,0)</f>
        <v>0</v>
      </c>
      <c r="U29" s="124" t="str">
        <f ca="1">Sprache!$A$60</f>
        <v>L-80 Вертикальный подъемник</v>
      </c>
      <c r="V29" s="194">
        <v>13</v>
      </c>
      <c r="W29" s="193">
        <v>17</v>
      </c>
      <c r="X29" s="187" t="str">
        <f ca="1">Sprache!$A$141</f>
        <v>Alu</v>
      </c>
      <c r="Y29" s="187" t="str">
        <f ca="1">Sprache!$A$136</f>
        <v>nein</v>
      </c>
      <c r="Z29" s="187" t="str">
        <f ca="1">Sprache!$A$106</f>
        <v>Korpus</v>
      </c>
      <c r="AA29" s="187">
        <v>430</v>
      </c>
      <c r="AB29" s="124">
        <v>600</v>
      </c>
      <c r="AC29" s="187"/>
      <c r="AD29" s="195">
        <v>7</v>
      </c>
      <c r="AE29" s="196">
        <v>14.6</v>
      </c>
      <c r="AF29" s="263" t="str">
        <f>MID(Tabelle2[[#This Row],[bnr full]],1,4)</f>
        <v>F152</v>
      </c>
      <c r="AG29" s="264" t="str">
        <f>MID(Tabelle2[[#This Row],[bnr full]],5,3)</f>
        <v>145</v>
      </c>
      <c r="AH29" s="265" t="str">
        <f>MID(Tabelle2[[#This Row],[bnr full]],8,3)</f>
        <v>254</v>
      </c>
      <c r="AI29" s="264" t="str">
        <f>MID(Tabelle2[[#This Row],[bnr full]],11,3)</f>
        <v>201</v>
      </c>
      <c r="AJ29" s="252" t="str">
        <f>MID(Tabelle2[[#This Row],[bnr full]],11,3)</f>
        <v>201</v>
      </c>
      <c r="AK29" s="197" t="s">
        <v>773</v>
      </c>
      <c r="AL29" s="124" t="str">
        <f ca="1">Sprache!$A$111</f>
        <v>Комплект (Л + П)</v>
      </c>
      <c r="AM29" s="187" t="str">
        <f ca="1">Sprache!$A$117</f>
        <v>Направляющий рычаг, тип 5</v>
      </c>
      <c r="AN29" s="187" t="str">
        <f ca="1">Sprache!$A$122</f>
        <v>Силовой механизм C</v>
      </c>
      <c r="AO29" s="187" t="str">
        <f ca="1">Sprache!$A$143</f>
        <v>Адаптер под алюминиевые рамки к комплекту Kinvaro L-80</v>
      </c>
      <c r="AP29" s="187" t="s">
        <v>814</v>
      </c>
      <c r="AQ29" s="187">
        <v>450</v>
      </c>
      <c r="AR29" s="124">
        <v>1200</v>
      </c>
      <c r="AS29" s="187"/>
      <c r="AT29" s="124"/>
    </row>
    <row r="30" spans="1:55" ht="15.75" hidden="1" thickBot="1" x14ac:dyDescent="0.3">
      <c r="A30" s="12" t="str">
        <f ca="1">IF(F30+G30+H30+I30+J30+D30+E30=3,IF(Tabelle2[[#This Row],[Kappe Weiß]]=Limits!$R$29,1,""),"")</f>
        <v/>
      </c>
      <c r="B30" s="12" t="str">
        <f ca="1">IF(G30+H30+I30+J30+E30+F30=2,IF(Tabelle2[[#This Row],[Kappe Weiß]]=Limits!$R$29,1,""),"")</f>
        <v/>
      </c>
      <c r="C30" s="290">
        <v>1</v>
      </c>
      <c r="D30" s="171">
        <f>IF(Limits!$P$4=TRUE,1,0)</f>
        <v>0</v>
      </c>
      <c r="E30" s="172">
        <f>IF(Daten!$P30+Daten!$Q30+Daten!$S30=3,1,0)</f>
        <v>0</v>
      </c>
      <c r="F30" s="173">
        <f ca="1">IF(AND(Limits!$Q$21=TRUE,Daten!O30=1)=TRUE,1,0)</f>
        <v>1</v>
      </c>
      <c r="G30" s="174">
        <f ca="1">IF(AND(Limits!$Q$25=TRUE,Daten!N30=1)=TRUE,1,0)</f>
        <v>0</v>
      </c>
      <c r="H30" s="174">
        <f ca="1">IF(AND(Limits!$Q$24=TRUE,Daten!M30=1)=TRUE,1,0)</f>
        <v>0</v>
      </c>
      <c r="I30" s="174">
        <f ca="1">IF(AND(Limits!$Q$23=TRUE,Daten!L30=1)=TRUE,1,0)</f>
        <v>0</v>
      </c>
      <c r="J30" s="174">
        <f ca="1">IF(AND(Limits!$Q$22=TRUE,Daten!K30=1)=TRUE,1,0)</f>
        <v>0</v>
      </c>
      <c r="K30" s="175">
        <f ca="1">IF(Daten!$V30=13,1,0)</f>
        <v>0</v>
      </c>
      <c r="L30" s="176">
        <f ca="1">IF(Daten!$V30&lt;&gt;Daten!$W30,1,IF(Daten!$V30=14,1,0))</f>
        <v>0</v>
      </c>
      <c r="M30" s="176">
        <f ca="1">IF(Daten!$V30&lt;&gt;Daten!$W30,1,IF(Daten!$V30=16,1,0))</f>
        <v>0</v>
      </c>
      <c r="N30" s="176">
        <f ca="1">IF(Daten!$W30=17,1,0)</f>
        <v>0</v>
      </c>
      <c r="O30" s="177">
        <f ca="1">IF(Daten!$X30=Sprache!$A$70,1,0)</f>
        <v>1</v>
      </c>
      <c r="P30" s="178">
        <f>IF(AND(Daten!$AQ30&lt;=KINVARO!$AW$3,Daten!$AR30&gt;=KINVARO!$AW$3)=TRUE,1,0)</f>
        <v>1</v>
      </c>
      <c r="Q30" s="179">
        <f>IF(AND(Daten!$AA30&lt;=KINVARO!$AW$4,Daten!$AB30&gt;=KINVARO!$AW$4)=TRUE,1,0)</f>
        <v>0</v>
      </c>
      <c r="R30" s="179"/>
      <c r="S30" s="179">
        <f>IF(AND(Daten!$AD30&lt;=Limits!$I$70,Daten!$AE30&gt;=Limits!$I$70)=TRUE,1,0)</f>
        <v>0</v>
      </c>
      <c r="T30" s="180">
        <f ca="1">IF(Daten!$Y30=Sprache!$A$135,1,0)</f>
        <v>0</v>
      </c>
      <c r="U30" s="181" t="str">
        <f ca="1">Sprache!$A$60</f>
        <v>L-80 Вертикальный подъемник</v>
      </c>
      <c r="V30" s="182" t="str">
        <f ca="1">Sprache!$A$74</f>
        <v>var</v>
      </c>
      <c r="W30" s="180" t="str">
        <f ca="1">Sprache!$A$74</f>
        <v>var</v>
      </c>
      <c r="X30" s="183" t="str">
        <f ca="1">Sprache!$A$70</f>
        <v>соединение с древесиной</v>
      </c>
      <c r="Y30" s="183" t="str">
        <f ca="1">Sprache!$A$136</f>
        <v>nein</v>
      </c>
      <c r="Z30" s="183" t="str">
        <f ca="1">Sprache!$A$106</f>
        <v>Korpus</v>
      </c>
      <c r="AA30" s="183">
        <v>350</v>
      </c>
      <c r="AB30" s="181">
        <v>369</v>
      </c>
      <c r="AC30" s="183"/>
      <c r="AD30" s="184">
        <v>2.5</v>
      </c>
      <c r="AE30" s="185">
        <v>6.5</v>
      </c>
      <c r="AF30" s="260" t="str">
        <f>MID(Tabelle2[[#This Row],[bnr full]],1,4)</f>
        <v>F152</v>
      </c>
      <c r="AG30" s="261" t="str">
        <f>MID(Tabelle2[[#This Row],[bnr full]],5,3)</f>
        <v>147</v>
      </c>
      <c r="AH30" s="262" t="str">
        <f>MID(Tabelle2[[#This Row],[bnr full]],8,3)</f>
        <v>781</v>
      </c>
      <c r="AI30" s="261" t="str">
        <f>MID(Tabelle2[[#This Row],[bnr full]],11,3)</f>
        <v>201</v>
      </c>
      <c r="AJ30" s="251" t="str">
        <f>MID(Tabelle2[[#This Row],[bnr full]],11,3)</f>
        <v>201</v>
      </c>
      <c r="AK30" s="186" t="s">
        <v>1641</v>
      </c>
      <c r="AL30" s="181" t="str">
        <f ca="1">Sprache!$A$111</f>
        <v>Комплект (Л + П)</v>
      </c>
      <c r="AM30" s="183" t="str">
        <f ca="1">Sprache!$A$113</f>
        <v>Направляющий рычаг, тип 1</v>
      </c>
      <c r="AN30" s="183" t="str">
        <f ca="1">Sprache!$A$120</f>
        <v>Силовой механизм A</v>
      </c>
      <c r="AO30" s="183" t="s">
        <v>25</v>
      </c>
      <c r="AP30" s="183" t="s">
        <v>25</v>
      </c>
      <c r="AQ30" s="183">
        <v>450</v>
      </c>
      <c r="AR30" s="181">
        <v>1200</v>
      </c>
      <c r="AS30" s="187"/>
      <c r="AT30" s="124"/>
      <c r="AU30"/>
      <c r="AV30"/>
      <c r="AY30"/>
      <c r="AZ30"/>
      <c r="BA30"/>
      <c r="BB30"/>
      <c r="BC30"/>
    </row>
    <row r="31" spans="1:55" s="5" customFormat="1" ht="15.75" hidden="1" thickBot="1" x14ac:dyDescent="0.3">
      <c r="A31" s="12" t="str">
        <f ca="1">IF(F31+G31+H31+I31+J31+D31+E31=3,IF(Tabelle2[[#This Row],[Kappe Weiß]]=Limits!$R$29,1,""),"")</f>
        <v/>
      </c>
      <c r="B31" s="12" t="str">
        <f ca="1">IF(G31+H31+I31+J31+E31+F31=2,IF(Tabelle2[[#This Row],[Kappe Weiß]]=Limits!$R$29,1,""),"")</f>
        <v/>
      </c>
      <c r="C31" s="291">
        <v>1</v>
      </c>
      <c r="D31" s="171">
        <f>IF(Limits!$P$4=TRUE,1,0)</f>
        <v>0</v>
      </c>
      <c r="E31" s="172">
        <f>IF(Daten!$P31+Daten!$Q31+Daten!$S31=3,1,0)</f>
        <v>0</v>
      </c>
      <c r="F31" s="173">
        <f ca="1">IF(AND(Limits!$Q$21=TRUE,Daten!O31=1)=TRUE,1,0)</f>
        <v>1</v>
      </c>
      <c r="G31" s="174">
        <f ca="1">IF(AND(Limits!$Q$25=TRUE,Daten!N31=1)=TRUE,1,0)</f>
        <v>0</v>
      </c>
      <c r="H31" s="174">
        <f ca="1">IF(AND(Limits!$Q$24=TRUE,Daten!M31=1)=TRUE,1,0)</f>
        <v>0</v>
      </c>
      <c r="I31" s="174">
        <f ca="1">IF(AND(Limits!$Q$23=TRUE,Daten!L31=1)=TRUE,1,0)</f>
        <v>0</v>
      </c>
      <c r="J31" s="174">
        <f ca="1">IF(AND(Limits!$Q$22=TRUE,Daten!K31=1)=TRUE,1,0)</f>
        <v>0</v>
      </c>
      <c r="K31" s="188">
        <f ca="1">IF(Daten!$V31=13,1,0)</f>
        <v>0</v>
      </c>
      <c r="L31" s="189">
        <f ca="1">IF(Daten!$V31&lt;&gt;Daten!$W31,1,IF(Daten!$V31=14,1,0))</f>
        <v>0</v>
      </c>
      <c r="M31" s="189">
        <f ca="1">IF(Daten!$V31&lt;&gt;Daten!$W31,1,IF(Daten!$V31=16,1,0))</f>
        <v>0</v>
      </c>
      <c r="N31" s="189">
        <f ca="1">IF(Daten!$W31=17,1,0)</f>
        <v>0</v>
      </c>
      <c r="O31" s="190">
        <f ca="1">IF(Daten!$X31=Sprache!$A$70,1,0)</f>
        <v>1</v>
      </c>
      <c r="P31" s="191">
        <f>IF(AND(Daten!$AQ31&lt;=KINVARO!$AW$3,Daten!$AR31&gt;=KINVARO!$AW$3)=TRUE,1,0)</f>
        <v>1</v>
      </c>
      <c r="Q31" s="192">
        <f>IF(AND(Daten!$AA31&lt;=KINVARO!$AW$4,Daten!$AB31&gt;=KINVARO!$AW$4)=TRUE,1,0)</f>
        <v>0</v>
      </c>
      <c r="R31" s="192"/>
      <c r="S31" s="192">
        <f>IF(AND(Daten!$AD31&lt;=Limits!$I$70,Daten!$AE31&gt;=Limits!$I$70)=TRUE,1,0)</f>
        <v>0</v>
      </c>
      <c r="T31" s="193">
        <f ca="1">IF(Daten!$Y31=Sprache!$A$135,1,0)</f>
        <v>0</v>
      </c>
      <c r="U31" s="124" t="str">
        <f ca="1">Sprache!$A$60</f>
        <v>L-80 Вертикальный подъемник</v>
      </c>
      <c r="V31" s="194" t="str">
        <f ca="1">Sprache!$A$74</f>
        <v>var</v>
      </c>
      <c r="W31" s="193" t="str">
        <f ca="1">Sprache!$A$74</f>
        <v>var</v>
      </c>
      <c r="X31" s="187" t="str">
        <f ca="1">Sprache!$A$70</f>
        <v>соединение с древесиной</v>
      </c>
      <c r="Y31" s="187" t="str">
        <f ca="1">Sprache!$A$136</f>
        <v>nein</v>
      </c>
      <c r="Z31" s="187" t="str">
        <f ca="1">Sprache!$A$106</f>
        <v>Korpus</v>
      </c>
      <c r="AA31" s="187">
        <v>350</v>
      </c>
      <c r="AB31" s="124">
        <v>369</v>
      </c>
      <c r="AC31" s="187"/>
      <c r="AD31" s="195">
        <v>6</v>
      </c>
      <c r="AE31" s="196">
        <v>9.5</v>
      </c>
      <c r="AF31" s="263" t="str">
        <f>MID(Tabelle2[[#This Row],[bnr full]],1,4)</f>
        <v>F152</v>
      </c>
      <c r="AG31" s="264" t="str">
        <f>MID(Tabelle2[[#This Row],[bnr full]],5,3)</f>
        <v>147</v>
      </c>
      <c r="AH31" s="265" t="str">
        <f>MID(Tabelle2[[#This Row],[bnr full]],8,3)</f>
        <v>828</v>
      </c>
      <c r="AI31" s="264" t="str">
        <f>MID(Tabelle2[[#This Row],[bnr full]],11,3)</f>
        <v>201</v>
      </c>
      <c r="AJ31" s="252" t="str">
        <f>MID(Tabelle2[[#This Row],[bnr full]],11,3)</f>
        <v>201</v>
      </c>
      <c r="AK31" s="197" t="s">
        <v>1642</v>
      </c>
      <c r="AL31" s="124" t="str">
        <f ca="1">Sprache!$A$111</f>
        <v>Комплект (Л + П)</v>
      </c>
      <c r="AM31" s="187" t="str">
        <f ca="1">Sprache!$A$113</f>
        <v>Направляющий рычаг, тип 1</v>
      </c>
      <c r="AN31" s="187" t="str">
        <f ca="1">Sprache!$A$121</f>
        <v>Силовой механизм B</v>
      </c>
      <c r="AO31" s="187" t="s">
        <v>25</v>
      </c>
      <c r="AP31" s="187" t="s">
        <v>25</v>
      </c>
      <c r="AQ31" s="187">
        <v>450</v>
      </c>
      <c r="AR31" s="124">
        <v>1200</v>
      </c>
      <c r="AS31" s="187"/>
      <c r="AT31" s="124"/>
    </row>
    <row r="32" spans="1:55" ht="15.75" hidden="1" thickBot="1" x14ac:dyDescent="0.3">
      <c r="A32" s="12" t="str">
        <f ca="1">IF(F32+G32+H32+I32+J32+D32+E32=3,IF(Tabelle2[[#This Row],[Kappe Weiß]]=Limits!$R$29,1,""),"")</f>
        <v/>
      </c>
      <c r="B32" s="12" t="str">
        <f ca="1">IF(G32+H32+I32+J32+E32+F32=2,IF(Tabelle2[[#This Row],[Kappe Weiß]]=Limits!$R$29,1,""),"")</f>
        <v/>
      </c>
      <c r="C32" s="291">
        <v>1</v>
      </c>
      <c r="D32" s="171">
        <f>IF(Limits!$P$4=TRUE,1,0)</f>
        <v>0</v>
      </c>
      <c r="E32" s="172">
        <f>IF(Daten!$P32+Daten!$Q32+Daten!$S32=3,1,0)</f>
        <v>0</v>
      </c>
      <c r="F32" s="173">
        <f ca="1">IF(AND(Limits!$Q$21=TRUE,Daten!O32=1)=TRUE,1,0)</f>
        <v>0</v>
      </c>
      <c r="G32" s="174">
        <f>IF(AND(Limits!$Q$25=TRUE,Daten!N32=1)=TRUE,1,0)</f>
        <v>0</v>
      </c>
      <c r="H32" s="174">
        <f>IF(AND(Limits!$Q$24=TRUE,Daten!M32=1)=TRUE,1,0)</f>
        <v>0</v>
      </c>
      <c r="I32" s="174">
        <f>IF(AND(Limits!$Q$23=TRUE,Daten!L32=1)=TRUE,1,0)</f>
        <v>0</v>
      </c>
      <c r="J32" s="174">
        <f>IF(AND(Limits!$Q$22=TRUE,Daten!K32=1)=TRUE,1,0)</f>
        <v>0</v>
      </c>
      <c r="K32" s="188">
        <f>IF(Daten!$V32=13,1,0)</f>
        <v>1</v>
      </c>
      <c r="L32" s="189">
        <f>IF(Daten!$V32&lt;&gt;Daten!$W32,1,IF(Daten!$V32=14,1,0))</f>
        <v>1</v>
      </c>
      <c r="M32" s="189">
        <f>IF(Daten!$V32&lt;&gt;Daten!$W32,1,IF(Daten!$V32=16,1,0))</f>
        <v>1</v>
      </c>
      <c r="N32" s="189">
        <f>IF(Daten!$W32=17,1,0)</f>
        <v>1</v>
      </c>
      <c r="O32" s="190">
        <f ca="1">IF(Daten!$X32=Sprache!$A$70,1,0)</f>
        <v>0</v>
      </c>
      <c r="P32" s="191">
        <f>IF(AND(Daten!$AQ32&lt;=KINVARO!$AW$3,Daten!$AR32&gt;=KINVARO!$AW$3)=TRUE,1,0)</f>
        <v>1</v>
      </c>
      <c r="Q32" s="192">
        <f>IF(AND(Daten!$AA32&lt;=KINVARO!$AW$4,Daten!$AB32&gt;=KINVARO!$AW$4)=TRUE,1,0)</f>
        <v>0</v>
      </c>
      <c r="R32" s="192"/>
      <c r="S32" s="192">
        <f>IF(AND(Daten!$AD32&lt;=Limits!$I$70,Daten!$AE32&gt;=Limits!$I$70)=TRUE,1,0)</f>
        <v>0</v>
      </c>
      <c r="T32" s="193">
        <f ca="1">IF(Daten!$Y32=Sprache!$A$135,1,0)</f>
        <v>0</v>
      </c>
      <c r="U32" s="124" t="str">
        <f ca="1">Sprache!$A$60</f>
        <v>L-80 Вертикальный подъемник</v>
      </c>
      <c r="V32" s="194">
        <v>13</v>
      </c>
      <c r="W32" s="193">
        <v>17</v>
      </c>
      <c r="X32" s="187" t="str">
        <f ca="1">Sprache!$A$141</f>
        <v>Alu</v>
      </c>
      <c r="Y32" s="187" t="str">
        <f ca="1">Sprache!$A$136</f>
        <v>nein</v>
      </c>
      <c r="Z32" s="187" t="str">
        <f ca="1">Sprache!$A$106</f>
        <v>Korpus</v>
      </c>
      <c r="AA32" s="187">
        <v>350</v>
      </c>
      <c r="AB32" s="124">
        <v>369</v>
      </c>
      <c r="AC32" s="187"/>
      <c r="AD32" s="195">
        <v>2.5</v>
      </c>
      <c r="AE32" s="196">
        <v>6.5</v>
      </c>
      <c r="AF32" s="263" t="str">
        <f>MID(Tabelle2[[#This Row],[bnr full]],1,4)</f>
        <v>F152</v>
      </c>
      <c r="AG32" s="264" t="str">
        <f>MID(Tabelle2[[#This Row],[bnr full]],5,3)</f>
        <v>147</v>
      </c>
      <c r="AH32" s="265" t="str">
        <f>MID(Tabelle2[[#This Row],[bnr full]],8,3)</f>
        <v>781</v>
      </c>
      <c r="AI32" s="264" t="str">
        <f>MID(Tabelle2[[#This Row],[bnr full]],11,3)</f>
        <v>201</v>
      </c>
      <c r="AJ32" s="252" t="str">
        <f>MID(Tabelle2[[#This Row],[bnr full]],11,3)</f>
        <v>201</v>
      </c>
      <c r="AK32" s="197" t="s">
        <v>1641</v>
      </c>
      <c r="AL32" s="124" t="str">
        <f ca="1">Sprache!$A$111</f>
        <v>Комплект (Л + П)</v>
      </c>
      <c r="AM32" s="187" t="str">
        <f ca="1">Sprache!$A$113</f>
        <v>Направляющий рычаг, тип 1</v>
      </c>
      <c r="AN32" s="187" t="str">
        <f ca="1">Sprache!$A$120</f>
        <v>Силовой механизм A</v>
      </c>
      <c r="AO32" s="187" t="str">
        <f ca="1">Sprache!$A$143
                                                                                                                                                                                                                                                                Sprache!$A$143</f>
        <v>Адаптер под алюминиевые рамки к комплекту Kinvaro L-80</v>
      </c>
      <c r="AP32" s="187" t="s">
        <v>814</v>
      </c>
      <c r="AQ32" s="187">
        <v>450</v>
      </c>
      <c r="AR32" s="124">
        <v>1200</v>
      </c>
      <c r="AS32" s="187"/>
      <c r="AT32" s="124"/>
      <c r="AU32"/>
      <c r="AV32"/>
      <c r="AY32"/>
      <c r="AZ32"/>
      <c r="BA32"/>
      <c r="BB32"/>
      <c r="BC32"/>
    </row>
    <row r="33" spans="1:55" ht="15.75" hidden="1" thickBot="1" x14ac:dyDescent="0.3">
      <c r="A33" s="12" t="str">
        <f ca="1">IF(F33+G33+H33+I33+J33+D33+E33=3,IF(Tabelle2[[#This Row],[Kappe Weiß]]=Limits!$R$29,1,""),"")</f>
        <v/>
      </c>
      <c r="B33" s="12" t="str">
        <f ca="1">IF(G33+H33+I33+J33+E33+F33=2,IF(Tabelle2[[#This Row],[Kappe Weiß]]=Limits!$R$29,1,""),"")</f>
        <v/>
      </c>
      <c r="C33" s="291">
        <v>1</v>
      </c>
      <c r="D33" s="171">
        <f>IF(Limits!$P$4=TRUE,1,0)</f>
        <v>0</v>
      </c>
      <c r="E33" s="172">
        <f>IF(Daten!$P33+Daten!$Q33+Daten!$S33=3,1,0)</f>
        <v>0</v>
      </c>
      <c r="F33" s="173">
        <f ca="1">IF(AND(Limits!$Q$21=TRUE,Daten!O33=1)=TRUE,1,0)</f>
        <v>0</v>
      </c>
      <c r="G33" s="174">
        <f>IF(AND(Limits!$Q$25=TRUE,Daten!N33=1)=TRUE,1,0)</f>
        <v>0</v>
      </c>
      <c r="H33" s="174">
        <f>IF(AND(Limits!$Q$24=TRUE,Daten!M33=1)=TRUE,1,0)</f>
        <v>0</v>
      </c>
      <c r="I33" s="174">
        <f>IF(AND(Limits!$Q$23=TRUE,Daten!L33=1)=TRUE,1,0)</f>
        <v>0</v>
      </c>
      <c r="J33" s="174">
        <f>IF(AND(Limits!$Q$22=TRUE,Daten!K33=1)=TRUE,1,0)</f>
        <v>0</v>
      </c>
      <c r="K33" s="188">
        <f>IF(Daten!$V33=13,1,0)</f>
        <v>1</v>
      </c>
      <c r="L33" s="189">
        <f>IF(Daten!$V33&lt;&gt;Daten!$W33,1,IF(Daten!$V33=14,1,0))</f>
        <v>1</v>
      </c>
      <c r="M33" s="189">
        <f>IF(Daten!$V33&lt;&gt;Daten!$W33,1,IF(Daten!$V33=16,1,0))</f>
        <v>1</v>
      </c>
      <c r="N33" s="189">
        <f>IF(Daten!$W33=17,1,0)</f>
        <v>1</v>
      </c>
      <c r="O33" s="190">
        <f ca="1">IF(Daten!$X33=Sprache!$A$70,1,0)</f>
        <v>0</v>
      </c>
      <c r="P33" s="191">
        <f>IF(AND(Daten!$AQ33&lt;=KINVARO!$AW$3,Daten!$AR33&gt;=KINVARO!$AW$3)=TRUE,1,0)</f>
        <v>1</v>
      </c>
      <c r="Q33" s="192">
        <f>IF(AND(Daten!$AA33&lt;=KINVARO!$AW$4,Daten!$AB33&gt;=KINVARO!$AW$4)=TRUE,1,0)</f>
        <v>0</v>
      </c>
      <c r="R33" s="192"/>
      <c r="S33" s="192">
        <f>IF(AND(Daten!$AD33&lt;=Limits!$I$70,Daten!$AE33&gt;=Limits!$I$70)=TRUE,1,0)</f>
        <v>0</v>
      </c>
      <c r="T33" s="193">
        <f ca="1">IF(Daten!$Y33=Sprache!$A$135,1,0)</f>
        <v>0</v>
      </c>
      <c r="U33" s="124" t="str">
        <f ca="1">Sprache!$A$60</f>
        <v>L-80 Вертикальный подъемник</v>
      </c>
      <c r="V33" s="194">
        <v>13</v>
      </c>
      <c r="W33" s="193">
        <v>17</v>
      </c>
      <c r="X33" s="187" t="str">
        <f ca="1">Sprache!$A$141</f>
        <v>Alu</v>
      </c>
      <c r="Y33" s="187" t="str">
        <f ca="1">Sprache!$A$136</f>
        <v>nein</v>
      </c>
      <c r="Z33" s="187" t="str">
        <f ca="1">Sprache!$A$106</f>
        <v>Korpus</v>
      </c>
      <c r="AA33" s="187">
        <v>350</v>
      </c>
      <c r="AB33" s="124">
        <v>369</v>
      </c>
      <c r="AC33" s="187"/>
      <c r="AD33" s="195">
        <v>6</v>
      </c>
      <c r="AE33" s="196">
        <v>9.5</v>
      </c>
      <c r="AF33" s="263" t="str">
        <f>MID(Tabelle2[[#This Row],[bnr full]],1,4)</f>
        <v>F152</v>
      </c>
      <c r="AG33" s="264" t="str">
        <f>MID(Tabelle2[[#This Row],[bnr full]],5,3)</f>
        <v>147</v>
      </c>
      <c r="AH33" s="265" t="str">
        <f>MID(Tabelle2[[#This Row],[bnr full]],8,3)</f>
        <v>828</v>
      </c>
      <c r="AI33" s="264" t="str">
        <f>MID(Tabelle2[[#This Row],[bnr full]],11,3)</f>
        <v>201</v>
      </c>
      <c r="AJ33" s="252" t="str">
        <f>MID(Tabelle2[[#This Row],[bnr full]],11,3)</f>
        <v>201</v>
      </c>
      <c r="AK33" s="197" t="s">
        <v>1642</v>
      </c>
      <c r="AL33" s="124" t="str">
        <f ca="1">Sprache!$A$111</f>
        <v>Комплект (Л + П)</v>
      </c>
      <c r="AM33" s="187" t="str">
        <f ca="1">Sprache!$A$113</f>
        <v>Направляющий рычаг, тип 1</v>
      </c>
      <c r="AN33" s="187" t="str">
        <f ca="1">Sprache!$A$121</f>
        <v>Силовой механизм B</v>
      </c>
      <c r="AO33" s="187" t="str">
        <f ca="1">Sprache!$A$143</f>
        <v>Адаптер под алюминиевые рамки к комплекту Kinvaro L-80</v>
      </c>
      <c r="AP33" s="187" t="s">
        <v>814</v>
      </c>
      <c r="AQ33" s="187">
        <v>450</v>
      </c>
      <c r="AR33" s="124">
        <v>1200</v>
      </c>
      <c r="AS33" s="187"/>
      <c r="AT33" s="124"/>
      <c r="AU33"/>
      <c r="AV33"/>
      <c r="AY33"/>
      <c r="AZ33"/>
      <c r="BA33"/>
      <c r="BB33"/>
      <c r="BC33"/>
    </row>
    <row r="34" spans="1:55" ht="15.75" hidden="1" thickBot="1" x14ac:dyDescent="0.3">
      <c r="A34" s="12" t="str">
        <f ca="1">IF(F34+G34+H34+I34+J34+D34+E34=3,IF(Tabelle2[[#This Row],[Kappe Weiß]]=Limits!$R$29,1,""),"")</f>
        <v/>
      </c>
      <c r="B34" s="12" t="str">
        <f ca="1">IF(G34+H34+I34+J34+E34+F34=2,IF(Tabelle2[[#This Row],[Kappe Weiß]]=Limits!$R$29,1,""),"")</f>
        <v/>
      </c>
      <c r="C34" s="292">
        <v>1</v>
      </c>
      <c r="D34" s="171">
        <f>IF(Limits!$P$4=TRUE,1,0)</f>
        <v>0</v>
      </c>
      <c r="E34" s="172">
        <f>IF(Daten!$P34+Daten!$Q34+Daten!$S34=3,1,0)</f>
        <v>0</v>
      </c>
      <c r="F34" s="173">
        <f ca="1">IF(AND(Limits!$Q$21=TRUE,Daten!O34=1)=TRUE,1,0)</f>
        <v>1</v>
      </c>
      <c r="G34" s="174">
        <f ca="1">IF(AND(Limits!$Q$25=TRUE,Daten!N34=1)=TRUE,1,0)</f>
        <v>0</v>
      </c>
      <c r="H34" s="174">
        <f ca="1">IF(AND(Limits!$Q$24=TRUE,Daten!M34=1)=TRUE,1,0)</f>
        <v>0</v>
      </c>
      <c r="I34" s="174">
        <f ca="1">IF(AND(Limits!$Q$23=TRUE,Daten!L34=1)=TRUE,1,0)</f>
        <v>0</v>
      </c>
      <c r="J34" s="174">
        <f ca="1">IF(AND(Limits!$Q$22=TRUE,Daten!K34=1)=TRUE,1,0)</f>
        <v>0</v>
      </c>
      <c r="K34" s="188">
        <f ca="1">IF(Daten!$V34=13,1,0)</f>
        <v>0</v>
      </c>
      <c r="L34" s="189">
        <f ca="1">IF(Daten!$V34&lt;&gt;Daten!$W34,1,IF(Daten!$V34=14,1,0))</f>
        <v>0</v>
      </c>
      <c r="M34" s="189">
        <f ca="1">IF(Daten!$V34&lt;&gt;Daten!$W34,1,IF(Daten!$V34=16,1,0))</f>
        <v>0</v>
      </c>
      <c r="N34" s="189">
        <f ca="1">IF(Daten!$W34=17,1,0)</f>
        <v>0</v>
      </c>
      <c r="O34" s="190">
        <f ca="1">IF(Daten!$X34=Sprache!$A$70,1,0)</f>
        <v>1</v>
      </c>
      <c r="P34" s="198">
        <f>IF(AND(Daten!$AQ34&lt;=KINVARO!$AW$3,Daten!$AR34&gt;=KINVARO!$AW$3)=TRUE,1,0)</f>
        <v>1</v>
      </c>
      <c r="Q34" s="199">
        <f>IF(AND(Daten!$AA34&lt;=KINVARO!$AW$4,Daten!$AB34&gt;=KINVARO!$AW$4)=TRUE,1,0)</f>
        <v>0</v>
      </c>
      <c r="R34" s="199"/>
      <c r="S34" s="199">
        <f>IF(AND(Daten!$AD34&lt;=Limits!$I$70,Daten!$AE34&gt;=Limits!$I$70)=TRUE,1,0)</f>
        <v>0</v>
      </c>
      <c r="T34" s="200">
        <f ca="1">IF(Daten!$Y34=Sprache!$A$135,1,0)</f>
        <v>0</v>
      </c>
      <c r="U34" s="201" t="str">
        <f ca="1">Sprache!$A$60</f>
        <v>L-80 Вертикальный подъемник</v>
      </c>
      <c r="V34" s="202" t="str">
        <f ca="1">Sprache!$A$74</f>
        <v>var</v>
      </c>
      <c r="W34" s="200" t="str">
        <f ca="1">Sprache!$A$74</f>
        <v>var</v>
      </c>
      <c r="X34" s="203" t="str">
        <f ca="1">Sprache!$A$70</f>
        <v>соединение с древесиной</v>
      </c>
      <c r="Y34" s="187" t="str">
        <f ca="1">Sprache!$A$136</f>
        <v>nein</v>
      </c>
      <c r="Z34" s="203" t="str">
        <f ca="1">Sprache!$A$106</f>
        <v>Korpus</v>
      </c>
      <c r="AA34" s="203">
        <v>370</v>
      </c>
      <c r="AB34" s="201">
        <v>389</v>
      </c>
      <c r="AC34" s="203"/>
      <c r="AD34" s="204">
        <v>2.2999999999999998</v>
      </c>
      <c r="AE34" s="205">
        <v>6</v>
      </c>
      <c r="AF34" s="266" t="str">
        <f>MID(Tabelle2[[#This Row],[bnr full]],1,4)</f>
        <v>F152</v>
      </c>
      <c r="AG34" s="267" t="str">
        <f>MID(Tabelle2[[#This Row],[bnr full]],5,3)</f>
        <v>147</v>
      </c>
      <c r="AH34" s="268" t="str">
        <f>MID(Tabelle2[[#This Row],[bnr full]],8,3)</f>
        <v>824</v>
      </c>
      <c r="AI34" s="267" t="str">
        <f>MID(Tabelle2[[#This Row],[bnr full]],11,3)</f>
        <v>201</v>
      </c>
      <c r="AJ34" s="253" t="str">
        <f>MID(Tabelle2[[#This Row],[bnr full]],11,3)</f>
        <v>201</v>
      </c>
      <c r="AK34" s="206" t="s">
        <v>1643</v>
      </c>
      <c r="AL34" s="201" t="str">
        <f ca="1">Sprache!$A$111</f>
        <v>Комплект (Л + П)</v>
      </c>
      <c r="AM34" s="203" t="str">
        <f ca="1">Sprache!$A$114</f>
        <v>Направляющий рычаг, тип 2</v>
      </c>
      <c r="AN34" s="203" t="str">
        <f ca="1">Sprache!$A$120</f>
        <v>Силовой механизм A</v>
      </c>
      <c r="AO34" s="203" t="s">
        <v>25</v>
      </c>
      <c r="AP34" s="203" t="s">
        <v>25</v>
      </c>
      <c r="AQ34" s="203">
        <v>450</v>
      </c>
      <c r="AR34" s="201">
        <v>1200</v>
      </c>
      <c r="AS34" s="187"/>
      <c r="AT34" s="124"/>
      <c r="AU34"/>
      <c r="AV34"/>
      <c r="AY34"/>
      <c r="AZ34"/>
      <c r="BA34"/>
      <c r="BB34"/>
      <c r="BC34"/>
    </row>
    <row r="35" spans="1:55" s="5" customFormat="1" ht="15.75" hidden="1" thickBot="1" x14ac:dyDescent="0.3">
      <c r="A35" s="12" t="str">
        <f ca="1">IF(F35+G35+H35+I35+J35+D35+E35=3,IF(Tabelle2[[#This Row],[Kappe Weiß]]=Limits!$R$29,1,""),"")</f>
        <v/>
      </c>
      <c r="B35" s="12" t="str">
        <f ca="1">IF(G35+H35+I35+J35+E35+F35=2,IF(Tabelle2[[#This Row],[Kappe Weiß]]=Limits!$R$29,1,""),"")</f>
        <v/>
      </c>
      <c r="C35" s="291">
        <v>1</v>
      </c>
      <c r="D35" s="171">
        <f>IF(Limits!$P$4=TRUE,1,0)</f>
        <v>0</v>
      </c>
      <c r="E35" s="172">
        <f>IF(Daten!$P35+Daten!$Q35+Daten!$S35=3,1,0)</f>
        <v>0</v>
      </c>
      <c r="F35" s="173">
        <f ca="1">IF(AND(Limits!$Q$21=TRUE,Daten!O35=1)=TRUE,1,0)</f>
        <v>1</v>
      </c>
      <c r="G35" s="174">
        <f ca="1">IF(AND(Limits!$Q$25=TRUE,Daten!N35=1)=TRUE,1,0)</f>
        <v>0</v>
      </c>
      <c r="H35" s="174">
        <f ca="1">IF(AND(Limits!$Q$24=TRUE,Daten!M35=1)=TRUE,1,0)</f>
        <v>0</v>
      </c>
      <c r="I35" s="174">
        <f ca="1">IF(AND(Limits!$Q$23=TRUE,Daten!L35=1)=TRUE,1,0)</f>
        <v>0</v>
      </c>
      <c r="J35" s="174">
        <f ca="1">IF(AND(Limits!$Q$22=TRUE,Daten!K35=1)=TRUE,1,0)</f>
        <v>0</v>
      </c>
      <c r="K35" s="188">
        <f ca="1">IF(Daten!$V35=13,1,0)</f>
        <v>0</v>
      </c>
      <c r="L35" s="189">
        <f ca="1">IF(Daten!$V35&lt;&gt;Daten!$W35,1,IF(Daten!$V35=14,1,0))</f>
        <v>0</v>
      </c>
      <c r="M35" s="189">
        <f ca="1">IF(Daten!$V35&lt;&gt;Daten!$W35,1,IF(Daten!$V35=16,1,0))</f>
        <v>0</v>
      </c>
      <c r="N35" s="189">
        <f ca="1">IF(Daten!$W35=17,1,0)</f>
        <v>0</v>
      </c>
      <c r="O35" s="190">
        <f ca="1">IF(Daten!$X35=Sprache!$A$70,1,0)</f>
        <v>1</v>
      </c>
      <c r="P35" s="191">
        <f>IF(AND(Daten!$AQ35&lt;=KINVARO!$AW$3,Daten!$AR35&gt;=KINVARO!$AW$3)=TRUE,1,0)</f>
        <v>1</v>
      </c>
      <c r="Q35" s="192">
        <f>IF(AND(Daten!$AA35&lt;=KINVARO!$AW$4,Daten!$AB35&gt;=KINVARO!$AW$4)=TRUE,1,0)</f>
        <v>0</v>
      </c>
      <c r="R35" s="192"/>
      <c r="S35" s="192">
        <f>IF(AND(Daten!$AD35&lt;=Limits!$I$70,Daten!$AE35&gt;=Limits!$I$70)=TRUE,1,0)</f>
        <v>0</v>
      </c>
      <c r="T35" s="193">
        <f ca="1">IF(Daten!$Y35=Sprache!$A$135,1,0)</f>
        <v>0</v>
      </c>
      <c r="U35" s="124" t="str">
        <f ca="1">Sprache!$A$60</f>
        <v>L-80 Вертикальный подъемник</v>
      </c>
      <c r="V35" s="194" t="str">
        <f ca="1">Sprache!$A$74</f>
        <v>var</v>
      </c>
      <c r="W35" s="193" t="str">
        <f ca="1">Sprache!$A$74</f>
        <v>var</v>
      </c>
      <c r="X35" s="187" t="str">
        <f ca="1">Sprache!$A$70</f>
        <v>соединение с древесиной</v>
      </c>
      <c r="Y35" s="187" t="str">
        <f ca="1">Sprache!$A$136</f>
        <v>nein</v>
      </c>
      <c r="Z35" s="187" t="str">
        <f ca="1">Sprache!$A$106</f>
        <v>Korpus</v>
      </c>
      <c r="AA35" s="187">
        <v>370</v>
      </c>
      <c r="AB35" s="124">
        <v>389</v>
      </c>
      <c r="AC35" s="187"/>
      <c r="AD35" s="195">
        <v>5.5</v>
      </c>
      <c r="AE35" s="196">
        <v>9</v>
      </c>
      <c r="AF35" s="263" t="str">
        <f>MID(Tabelle2[[#This Row],[bnr full]],1,4)</f>
        <v>F152</v>
      </c>
      <c r="AG35" s="264" t="str">
        <f>MID(Tabelle2[[#This Row],[bnr full]],5,3)</f>
        <v>147</v>
      </c>
      <c r="AH35" s="265" t="str">
        <f>MID(Tabelle2[[#This Row],[bnr full]],8,3)</f>
        <v>829</v>
      </c>
      <c r="AI35" s="264" t="str">
        <f>MID(Tabelle2[[#This Row],[bnr full]],11,3)</f>
        <v>201</v>
      </c>
      <c r="AJ35" s="252" t="str">
        <f>MID(Tabelle2[[#This Row],[bnr full]],11,3)</f>
        <v>201</v>
      </c>
      <c r="AK35" s="197" t="s">
        <v>1644</v>
      </c>
      <c r="AL35" s="124" t="str">
        <f ca="1">Sprache!$A$111</f>
        <v>Комплект (Л + П)</v>
      </c>
      <c r="AM35" s="187" t="str">
        <f ca="1">Sprache!$A$114</f>
        <v>Направляющий рычаг, тип 2</v>
      </c>
      <c r="AN35" s="187" t="str">
        <f ca="1">Sprache!$A$121</f>
        <v>Силовой механизм B</v>
      </c>
      <c r="AO35" s="187" t="s">
        <v>25</v>
      </c>
      <c r="AP35" s="187" t="s">
        <v>25</v>
      </c>
      <c r="AQ35" s="187">
        <v>450</v>
      </c>
      <c r="AR35" s="124">
        <v>1200</v>
      </c>
      <c r="AS35" s="187"/>
      <c r="AT35" s="124"/>
    </row>
    <row r="36" spans="1:55" ht="15.75" hidden="1" thickBot="1" x14ac:dyDescent="0.3">
      <c r="A36" s="12" t="str">
        <f ca="1">IF(F36+G36+H36+I36+J36+D36+E36=3,IF(Tabelle2[[#This Row],[Kappe Weiß]]=Limits!$R$29,1,""),"")</f>
        <v/>
      </c>
      <c r="B36" s="12" t="str">
        <f ca="1">IF(G36+H36+I36+J36+E36+F36=2,IF(Tabelle2[[#This Row],[Kappe Weiß]]=Limits!$R$29,1,""),"")</f>
        <v/>
      </c>
      <c r="C36" s="291">
        <v>1</v>
      </c>
      <c r="D36" s="171">
        <f>IF(Limits!$P$4=TRUE,1,0)</f>
        <v>0</v>
      </c>
      <c r="E36" s="172">
        <f>IF(Daten!$P36+Daten!$Q36+Daten!$S36=3,1,0)</f>
        <v>0</v>
      </c>
      <c r="F36" s="173">
        <f ca="1">IF(AND(Limits!$Q$21=TRUE,Daten!O36=1)=TRUE,1,0)</f>
        <v>1</v>
      </c>
      <c r="G36" s="174">
        <f ca="1">IF(AND(Limits!$Q$25=TRUE,Daten!N36=1)=TRUE,1,0)</f>
        <v>0</v>
      </c>
      <c r="H36" s="174">
        <f ca="1">IF(AND(Limits!$Q$24=TRUE,Daten!M36=1)=TRUE,1,0)</f>
        <v>0</v>
      </c>
      <c r="I36" s="174">
        <f ca="1">IF(AND(Limits!$Q$23=TRUE,Daten!L36=1)=TRUE,1,0)</f>
        <v>0</v>
      </c>
      <c r="J36" s="174">
        <f ca="1">IF(AND(Limits!$Q$22=TRUE,Daten!K36=1)=TRUE,1,0)</f>
        <v>0</v>
      </c>
      <c r="K36" s="188">
        <f ca="1">IF(Daten!$V36=13,1,0)</f>
        <v>0</v>
      </c>
      <c r="L36" s="189">
        <f ca="1">IF(Daten!$V36&lt;&gt;Daten!$W36,1,IF(Daten!$V36=14,1,0))</f>
        <v>0</v>
      </c>
      <c r="M36" s="189">
        <f ca="1">IF(Daten!$V36&lt;&gt;Daten!$W36,1,IF(Daten!$V36=16,1,0))</f>
        <v>0</v>
      </c>
      <c r="N36" s="189">
        <f ca="1">IF(Daten!$W36=17,1,0)</f>
        <v>0</v>
      </c>
      <c r="O36" s="190">
        <f ca="1">IF(Daten!$X36=Sprache!$A$70,1,0)</f>
        <v>1</v>
      </c>
      <c r="P36" s="191">
        <f>IF(AND(Daten!$AQ36&lt;=KINVARO!$AW$3,Daten!$AR36&gt;=KINVARO!$AW$3)=TRUE,1,0)</f>
        <v>1</v>
      </c>
      <c r="Q36" s="192">
        <f>IF(AND(Daten!$AA36&lt;=KINVARO!$AW$4,Daten!$AB36&gt;=KINVARO!$AW$4)=TRUE,1,0)</f>
        <v>0</v>
      </c>
      <c r="R36" s="192"/>
      <c r="S36" s="192">
        <f>IF(AND(Daten!$AD36&lt;=Limits!$I$70,Daten!$AE36&gt;=Limits!$I$70)=TRUE,1,0)</f>
        <v>0</v>
      </c>
      <c r="T36" s="193">
        <f ca="1">IF(Daten!$Y36=Sprache!$A$135,1,0)</f>
        <v>0</v>
      </c>
      <c r="U36" s="124" t="str">
        <f ca="1">Sprache!$A$60</f>
        <v>L-80 Вертикальный подъемник</v>
      </c>
      <c r="V36" s="194" t="str">
        <f ca="1">Sprache!$A$74</f>
        <v>var</v>
      </c>
      <c r="W36" s="193" t="str">
        <f ca="1">Sprache!$A$74</f>
        <v>var</v>
      </c>
      <c r="X36" s="187" t="str">
        <f ca="1">Sprache!$A$70</f>
        <v>соединение с древесиной</v>
      </c>
      <c r="Y36" s="187" t="str">
        <f ca="1">Sprache!$A$136</f>
        <v>nein</v>
      </c>
      <c r="Z36" s="187" t="str">
        <f ca="1">Sprache!$A$106</f>
        <v>Korpus</v>
      </c>
      <c r="AA36" s="187">
        <v>370</v>
      </c>
      <c r="AB36" s="124">
        <v>389</v>
      </c>
      <c r="AC36" s="187"/>
      <c r="AD36" s="195">
        <v>8.5</v>
      </c>
      <c r="AE36" s="196">
        <v>9.6</v>
      </c>
      <c r="AF36" s="263" t="str">
        <f>MID(Tabelle2[[#This Row],[bnr full]],1,4)</f>
        <v>F152</v>
      </c>
      <c r="AG36" s="264" t="str">
        <f>MID(Tabelle2[[#This Row],[bnr full]],5,3)</f>
        <v>147</v>
      </c>
      <c r="AH36" s="265" t="str">
        <f>MID(Tabelle2[[#This Row],[bnr full]],8,3)</f>
        <v>833</v>
      </c>
      <c r="AI36" s="264" t="str">
        <f>MID(Tabelle2[[#This Row],[bnr full]],11,3)</f>
        <v>201</v>
      </c>
      <c r="AJ36" s="252" t="str">
        <f>MID(Tabelle2[[#This Row],[bnr full]],11,3)</f>
        <v>201</v>
      </c>
      <c r="AK36" s="197" t="s">
        <v>1645</v>
      </c>
      <c r="AL36" s="124" t="str">
        <f ca="1">Sprache!$A$111</f>
        <v>Комплект (Л + П)</v>
      </c>
      <c r="AM36" s="187" t="str">
        <f ca="1">Sprache!$A$114</f>
        <v>Направляющий рычаг, тип 2</v>
      </c>
      <c r="AN36" s="187" t="str">
        <f ca="1">Sprache!$A$122</f>
        <v>Силовой механизм C</v>
      </c>
      <c r="AO36" s="187" t="s">
        <v>25</v>
      </c>
      <c r="AP36" s="187" t="s">
        <v>25</v>
      </c>
      <c r="AQ36" s="187">
        <v>450</v>
      </c>
      <c r="AR36" s="124">
        <v>1200</v>
      </c>
      <c r="AS36" s="187"/>
      <c r="AT36" s="124"/>
      <c r="AU36"/>
      <c r="AV36"/>
      <c r="AY36"/>
      <c r="AZ36"/>
      <c r="BA36"/>
      <c r="BB36"/>
      <c r="BC36"/>
    </row>
    <row r="37" spans="1:55" ht="15.75" hidden="1" thickBot="1" x14ac:dyDescent="0.3">
      <c r="A37" s="12" t="str">
        <f ca="1">IF(F37+G37+H37+I37+J37+D37+E37=3,IF(Tabelle2[[#This Row],[Kappe Weiß]]=Limits!$R$29,1,""),"")</f>
        <v/>
      </c>
      <c r="B37" s="12" t="str">
        <f ca="1">IF(G37+H37+I37+J37+E37+F37=2,IF(Tabelle2[[#This Row],[Kappe Weiß]]=Limits!$R$29,1,""),"")</f>
        <v/>
      </c>
      <c r="C37" s="291">
        <v>1</v>
      </c>
      <c r="D37" s="171">
        <f>IF(Limits!$P$4=TRUE,1,0)</f>
        <v>0</v>
      </c>
      <c r="E37" s="172">
        <f>IF(Daten!$P37+Daten!$Q37+Daten!$S37=3,1,0)</f>
        <v>0</v>
      </c>
      <c r="F37" s="173">
        <f ca="1">IF(AND(Limits!$Q$21=TRUE,Daten!O37=1)=TRUE,1,0)</f>
        <v>0</v>
      </c>
      <c r="G37" s="174">
        <f>IF(AND(Limits!$Q$25=TRUE,Daten!N37=1)=TRUE,1,0)</f>
        <v>0</v>
      </c>
      <c r="H37" s="174">
        <f>IF(AND(Limits!$Q$24=TRUE,Daten!M37=1)=TRUE,1,0)</f>
        <v>0</v>
      </c>
      <c r="I37" s="174">
        <f>IF(AND(Limits!$Q$23=TRUE,Daten!L37=1)=TRUE,1,0)</f>
        <v>0</v>
      </c>
      <c r="J37" s="174">
        <f>IF(AND(Limits!$Q$22=TRUE,Daten!K37=1)=TRUE,1,0)</f>
        <v>0</v>
      </c>
      <c r="K37" s="188">
        <f>IF(Daten!$V37=13,1,0)</f>
        <v>1</v>
      </c>
      <c r="L37" s="189">
        <f>IF(Daten!$V37&lt;&gt;Daten!$W37,1,IF(Daten!$V37=14,1,0))</f>
        <v>1</v>
      </c>
      <c r="M37" s="189">
        <f>IF(Daten!$V37&lt;&gt;Daten!$W37,1,IF(Daten!$V37=16,1,0))</f>
        <v>1</v>
      </c>
      <c r="N37" s="189">
        <f>IF(Daten!$W37=17,1,0)</f>
        <v>1</v>
      </c>
      <c r="O37" s="190">
        <f ca="1">IF(Daten!$X37=Sprache!$A$70,1,0)</f>
        <v>0</v>
      </c>
      <c r="P37" s="191">
        <f>IF(AND(Daten!$AQ37&lt;=KINVARO!$AW$3,Daten!$AR37&gt;=KINVARO!$AW$3)=TRUE,1,0)</f>
        <v>1</v>
      </c>
      <c r="Q37" s="192">
        <f>IF(AND(Daten!$AA37&lt;=KINVARO!$AW$4,Daten!$AB37&gt;=KINVARO!$AW$4)=TRUE,1,0)</f>
        <v>0</v>
      </c>
      <c r="R37" s="192"/>
      <c r="S37" s="192">
        <f>IF(AND(Daten!$AD37&lt;=Limits!$I$70,Daten!$AE37&gt;=Limits!$I$70)=TRUE,1,0)</f>
        <v>0</v>
      </c>
      <c r="T37" s="193">
        <f ca="1">IF(Daten!$Y37=Sprache!$A$135,1,0)</f>
        <v>0</v>
      </c>
      <c r="U37" s="124" t="str">
        <f ca="1">Sprache!$A$60</f>
        <v>L-80 Вертикальный подъемник</v>
      </c>
      <c r="V37" s="194">
        <v>13</v>
      </c>
      <c r="W37" s="193">
        <v>17</v>
      </c>
      <c r="X37" s="187" t="str">
        <f ca="1">Sprache!$A$141</f>
        <v>Alu</v>
      </c>
      <c r="Y37" s="187" t="str">
        <f ca="1">Sprache!$A$136</f>
        <v>nein</v>
      </c>
      <c r="Z37" s="187" t="str">
        <f ca="1">Sprache!$A$106</f>
        <v>Korpus</v>
      </c>
      <c r="AA37" s="187">
        <v>370</v>
      </c>
      <c r="AB37" s="124">
        <v>389</v>
      </c>
      <c r="AC37" s="187"/>
      <c r="AD37" s="195">
        <v>2.2999999999999998</v>
      </c>
      <c r="AE37" s="196">
        <v>6</v>
      </c>
      <c r="AF37" s="263" t="str">
        <f>MID(Tabelle2[[#This Row],[bnr full]],1,4)</f>
        <v>F152</v>
      </c>
      <c r="AG37" s="264" t="str">
        <f>MID(Tabelle2[[#This Row],[bnr full]],5,3)</f>
        <v>147</v>
      </c>
      <c r="AH37" s="265" t="str">
        <f>MID(Tabelle2[[#This Row],[bnr full]],8,3)</f>
        <v>824</v>
      </c>
      <c r="AI37" s="264" t="str">
        <f>MID(Tabelle2[[#This Row],[bnr full]],11,3)</f>
        <v>201</v>
      </c>
      <c r="AJ37" s="252" t="str">
        <f>MID(Tabelle2[[#This Row],[bnr full]],11,3)</f>
        <v>201</v>
      </c>
      <c r="AK37" s="197" t="s">
        <v>1643</v>
      </c>
      <c r="AL37" s="124" t="str">
        <f ca="1">Sprache!$A$111</f>
        <v>Комплект (Л + П)</v>
      </c>
      <c r="AM37" s="187" t="str">
        <f ca="1">Sprache!$A$114</f>
        <v>Направляющий рычаг, тип 2</v>
      </c>
      <c r="AN37" s="187" t="str">
        <f ca="1">Sprache!$A$120</f>
        <v>Силовой механизм A</v>
      </c>
      <c r="AO37" s="187" t="str">
        <f ca="1">Sprache!$A$143</f>
        <v>Адаптер под алюминиевые рамки к комплекту Kinvaro L-80</v>
      </c>
      <c r="AP37" s="187" t="s">
        <v>814</v>
      </c>
      <c r="AQ37" s="187">
        <v>450</v>
      </c>
      <c r="AR37" s="124">
        <v>1200</v>
      </c>
      <c r="AS37" s="187"/>
      <c r="AT37" s="124"/>
      <c r="AU37"/>
      <c r="AV37"/>
      <c r="AY37"/>
      <c r="AZ37"/>
      <c r="BA37"/>
      <c r="BB37"/>
      <c r="BC37"/>
    </row>
    <row r="38" spans="1:55" ht="15.75" hidden="1" thickBot="1" x14ac:dyDescent="0.3">
      <c r="A38" s="12" t="str">
        <f ca="1">IF(F38+G38+H38+I38+J38+D38+E38=3,IF(Tabelle2[[#This Row],[Kappe Weiß]]=Limits!$R$29,1,""),"")</f>
        <v/>
      </c>
      <c r="B38" s="12" t="str">
        <f ca="1">IF(G38+H38+I38+J38+E38+F38=2,IF(Tabelle2[[#This Row],[Kappe Weiß]]=Limits!$R$29,1,""),"")</f>
        <v/>
      </c>
      <c r="C38" s="291">
        <v>1</v>
      </c>
      <c r="D38" s="171">
        <f>IF(Limits!$P$4=TRUE,1,0)</f>
        <v>0</v>
      </c>
      <c r="E38" s="172">
        <f>IF(Daten!$P38+Daten!$Q38+Daten!$S38=3,1,0)</f>
        <v>0</v>
      </c>
      <c r="F38" s="173">
        <f ca="1">IF(AND(Limits!$Q$21=TRUE,Daten!O38=1)=TRUE,1,0)</f>
        <v>0</v>
      </c>
      <c r="G38" s="174">
        <f>IF(AND(Limits!$Q$25=TRUE,Daten!N38=1)=TRUE,1,0)</f>
        <v>0</v>
      </c>
      <c r="H38" s="174">
        <f>IF(AND(Limits!$Q$24=TRUE,Daten!M38=1)=TRUE,1,0)</f>
        <v>0</v>
      </c>
      <c r="I38" s="174">
        <f>IF(AND(Limits!$Q$23=TRUE,Daten!L38=1)=TRUE,1,0)</f>
        <v>0</v>
      </c>
      <c r="J38" s="174">
        <f>IF(AND(Limits!$Q$22=TRUE,Daten!K38=1)=TRUE,1,0)</f>
        <v>0</v>
      </c>
      <c r="K38" s="188">
        <f>IF(Daten!$V38=13,1,0)</f>
        <v>1</v>
      </c>
      <c r="L38" s="189">
        <f>IF(Daten!$V38&lt;&gt;Daten!$W38,1,IF(Daten!$V38=14,1,0))</f>
        <v>1</v>
      </c>
      <c r="M38" s="189">
        <f>IF(Daten!$V38&lt;&gt;Daten!$W38,1,IF(Daten!$V38=16,1,0))</f>
        <v>1</v>
      </c>
      <c r="N38" s="189">
        <f>IF(Daten!$W38=17,1,0)</f>
        <v>1</v>
      </c>
      <c r="O38" s="190">
        <f ca="1">IF(Daten!$X38=Sprache!$A$70,1,0)</f>
        <v>0</v>
      </c>
      <c r="P38" s="191">
        <f>IF(AND(Daten!$AQ38&lt;=KINVARO!$AW$3,Daten!$AR38&gt;=KINVARO!$AW$3)=TRUE,1,0)</f>
        <v>1</v>
      </c>
      <c r="Q38" s="192">
        <f>IF(AND(Daten!$AA38&lt;=KINVARO!$AW$4,Daten!$AB38&gt;=KINVARO!$AW$4)=TRUE,1,0)</f>
        <v>0</v>
      </c>
      <c r="R38" s="192"/>
      <c r="S38" s="192">
        <f>IF(AND(Daten!$AD38&lt;=Limits!$I$70,Daten!$AE38&gt;=Limits!$I$70)=TRUE,1,0)</f>
        <v>0</v>
      </c>
      <c r="T38" s="193">
        <f ca="1">IF(Daten!$Y38=Sprache!$A$135,1,0)</f>
        <v>0</v>
      </c>
      <c r="U38" s="124" t="str">
        <f ca="1">Sprache!$A$60</f>
        <v>L-80 Вертикальный подъемник</v>
      </c>
      <c r="V38" s="194">
        <v>13</v>
      </c>
      <c r="W38" s="193">
        <v>17</v>
      </c>
      <c r="X38" s="187" t="str">
        <f ca="1">Sprache!$A$141</f>
        <v>Alu</v>
      </c>
      <c r="Y38" s="187" t="str">
        <f ca="1">Sprache!$A$136</f>
        <v>nein</v>
      </c>
      <c r="Z38" s="187" t="str">
        <f ca="1">Sprache!$A$106</f>
        <v>Korpus</v>
      </c>
      <c r="AA38" s="187">
        <v>370</v>
      </c>
      <c r="AB38" s="124">
        <v>389</v>
      </c>
      <c r="AC38" s="187"/>
      <c r="AD38" s="195">
        <v>5.5</v>
      </c>
      <c r="AE38" s="196">
        <v>9</v>
      </c>
      <c r="AF38" s="263" t="str">
        <f>MID(Tabelle2[[#This Row],[bnr full]],1,4)</f>
        <v>F152</v>
      </c>
      <c r="AG38" s="264" t="str">
        <f>MID(Tabelle2[[#This Row],[bnr full]],5,3)</f>
        <v>147</v>
      </c>
      <c r="AH38" s="265" t="str">
        <f>MID(Tabelle2[[#This Row],[bnr full]],8,3)</f>
        <v>829</v>
      </c>
      <c r="AI38" s="264" t="str">
        <f>MID(Tabelle2[[#This Row],[bnr full]],11,3)</f>
        <v>201</v>
      </c>
      <c r="AJ38" s="252" t="str">
        <f>MID(Tabelle2[[#This Row],[bnr full]],11,3)</f>
        <v>201</v>
      </c>
      <c r="AK38" s="197" t="s">
        <v>1644</v>
      </c>
      <c r="AL38" s="124" t="str">
        <f ca="1">Sprache!$A$111</f>
        <v>Комплект (Л + П)</v>
      </c>
      <c r="AM38" s="187" t="str">
        <f ca="1">Sprache!$A$114</f>
        <v>Направляющий рычаг, тип 2</v>
      </c>
      <c r="AN38" s="187" t="str">
        <f ca="1">Sprache!$A$121</f>
        <v>Силовой механизм B</v>
      </c>
      <c r="AO38" s="187" t="str">
        <f ca="1">Sprache!$A$143</f>
        <v>Адаптер под алюминиевые рамки к комплекту Kinvaro L-80</v>
      </c>
      <c r="AP38" s="187" t="s">
        <v>814</v>
      </c>
      <c r="AQ38" s="187">
        <v>450</v>
      </c>
      <c r="AR38" s="124">
        <v>1200</v>
      </c>
      <c r="AS38" s="187"/>
      <c r="AT38" s="124"/>
      <c r="AU38"/>
      <c r="AV38"/>
      <c r="AY38"/>
      <c r="AZ38"/>
      <c r="BA38"/>
      <c r="BB38"/>
      <c r="BC38"/>
    </row>
    <row r="39" spans="1:55" s="5" customFormat="1" ht="15.75" hidden="1" thickBot="1" x14ac:dyDescent="0.3">
      <c r="A39" s="12" t="str">
        <f ca="1">IF(F39+G39+H39+I39+J39+D39+E39=3,IF(Tabelle2[[#This Row],[Kappe Weiß]]=Limits!$R$29,1,""),"")</f>
        <v/>
      </c>
      <c r="B39" s="12" t="str">
        <f ca="1">IF(G39+H39+I39+J39+E39+F39=2,IF(Tabelle2[[#This Row],[Kappe Weiß]]=Limits!$R$29,1,""),"")</f>
        <v/>
      </c>
      <c r="C39" s="291">
        <v>1</v>
      </c>
      <c r="D39" s="171">
        <f>IF(Limits!$P$4=TRUE,1,0)</f>
        <v>0</v>
      </c>
      <c r="E39" s="172">
        <f>IF(Daten!$P39+Daten!$Q39+Daten!$S39=3,1,0)</f>
        <v>0</v>
      </c>
      <c r="F39" s="173">
        <f ca="1">IF(AND(Limits!$Q$21=TRUE,Daten!O39=1)=TRUE,1,0)</f>
        <v>0</v>
      </c>
      <c r="G39" s="174">
        <f>IF(AND(Limits!$Q$25=TRUE,Daten!N39=1)=TRUE,1,0)</f>
        <v>0</v>
      </c>
      <c r="H39" s="174">
        <f>IF(AND(Limits!$Q$24=TRUE,Daten!M39=1)=TRUE,1,0)</f>
        <v>0</v>
      </c>
      <c r="I39" s="174">
        <f>IF(AND(Limits!$Q$23=TRUE,Daten!L39=1)=TRUE,1,0)</f>
        <v>0</v>
      </c>
      <c r="J39" s="174">
        <f>IF(AND(Limits!$Q$22=TRUE,Daten!K39=1)=TRUE,1,0)</f>
        <v>0</v>
      </c>
      <c r="K39" s="188">
        <f>IF(Daten!$V39=13,1,0)</f>
        <v>1</v>
      </c>
      <c r="L39" s="189">
        <f>IF(Daten!$V39&lt;&gt;Daten!$W39,1,IF(Daten!$V39=14,1,0))</f>
        <v>1</v>
      </c>
      <c r="M39" s="189">
        <f>IF(Daten!$V39&lt;&gt;Daten!$W39,1,IF(Daten!$V39=16,1,0))</f>
        <v>1</v>
      </c>
      <c r="N39" s="189">
        <f>IF(Daten!$W39=17,1,0)</f>
        <v>1</v>
      </c>
      <c r="O39" s="190">
        <f ca="1">IF(Daten!$X39=Sprache!$A$70,1,0)</f>
        <v>0</v>
      </c>
      <c r="P39" s="191">
        <f>IF(AND(Daten!$AQ39&lt;=KINVARO!$AW$3,Daten!$AR39&gt;=KINVARO!$AW$3)=TRUE,1,0)</f>
        <v>1</v>
      </c>
      <c r="Q39" s="192">
        <f>IF(AND(Daten!$AA39&lt;=KINVARO!$AW$4,Daten!$AB39&gt;=KINVARO!$AW$4)=TRUE,1,0)</f>
        <v>0</v>
      </c>
      <c r="R39" s="192"/>
      <c r="S39" s="192">
        <f>IF(AND(Daten!$AD39&lt;=Limits!$I$70,Daten!$AE39&gt;=Limits!$I$70)=TRUE,1,0)</f>
        <v>0</v>
      </c>
      <c r="T39" s="193">
        <f ca="1">IF(Daten!$Y39=Sprache!$A$135,1,0)</f>
        <v>0</v>
      </c>
      <c r="U39" s="124" t="str">
        <f ca="1">Sprache!$A$60</f>
        <v>L-80 Вертикальный подъемник</v>
      </c>
      <c r="V39" s="194">
        <v>13</v>
      </c>
      <c r="W39" s="193">
        <v>17</v>
      </c>
      <c r="X39" s="187" t="str">
        <f ca="1">Sprache!$A$141</f>
        <v>Alu</v>
      </c>
      <c r="Y39" s="187" t="str">
        <f ca="1">Sprache!$A$136</f>
        <v>nein</v>
      </c>
      <c r="Z39" s="187" t="str">
        <f ca="1">Sprache!$A$106</f>
        <v>Korpus</v>
      </c>
      <c r="AA39" s="187">
        <v>370</v>
      </c>
      <c r="AB39" s="124">
        <v>389</v>
      </c>
      <c r="AC39" s="187"/>
      <c r="AD39" s="195">
        <v>8.5</v>
      </c>
      <c r="AE39" s="196">
        <v>9.6</v>
      </c>
      <c r="AF39" s="263" t="str">
        <f>MID(Tabelle2[[#This Row],[bnr full]],1,4)</f>
        <v>F152</v>
      </c>
      <c r="AG39" s="264" t="str">
        <f>MID(Tabelle2[[#This Row],[bnr full]],5,3)</f>
        <v>147</v>
      </c>
      <c r="AH39" s="265" t="str">
        <f>MID(Tabelle2[[#This Row],[bnr full]],8,3)</f>
        <v>833</v>
      </c>
      <c r="AI39" s="264" t="str">
        <f>MID(Tabelle2[[#This Row],[bnr full]],11,3)</f>
        <v>201</v>
      </c>
      <c r="AJ39" s="252" t="str">
        <f>MID(Tabelle2[[#This Row],[bnr full]],11,3)</f>
        <v>201</v>
      </c>
      <c r="AK39" s="197" t="s">
        <v>1645</v>
      </c>
      <c r="AL39" s="124" t="str">
        <f ca="1">Sprache!$A$111</f>
        <v>Комплект (Л + П)</v>
      </c>
      <c r="AM39" s="187" t="str">
        <f ca="1">Sprache!$A$114</f>
        <v>Направляющий рычаг, тип 2</v>
      </c>
      <c r="AN39" s="187" t="str">
        <f ca="1">Sprache!$A$122</f>
        <v>Силовой механизм C</v>
      </c>
      <c r="AO39" s="187" t="str">
        <f ca="1">Sprache!$A$143</f>
        <v>Адаптер под алюминиевые рамки к комплекту Kinvaro L-80</v>
      </c>
      <c r="AP39" s="187" t="s">
        <v>814</v>
      </c>
      <c r="AQ39" s="187">
        <v>450</v>
      </c>
      <c r="AR39" s="124">
        <v>1200</v>
      </c>
      <c r="AS39" s="187"/>
      <c r="AT39" s="124"/>
    </row>
    <row r="40" spans="1:55" ht="15.75" hidden="1" thickBot="1" x14ac:dyDescent="0.3">
      <c r="A40" s="12" t="str">
        <f ca="1">IF(F40+G40+H40+I40+J40+D40+E40=3,IF(Tabelle2[[#This Row],[Kappe Weiß]]=Limits!$R$29,1,""),"")</f>
        <v/>
      </c>
      <c r="B40" s="12" t="str">
        <f ca="1">IF(G40+H40+I40+J40+E40+F40=2,IF(Tabelle2[[#This Row],[Kappe Weiß]]=Limits!$R$29,1,""),"")</f>
        <v/>
      </c>
      <c r="C40" s="292">
        <v>1</v>
      </c>
      <c r="D40" s="171">
        <f>IF(Limits!$P$4=TRUE,1,0)</f>
        <v>0</v>
      </c>
      <c r="E40" s="172">
        <f>IF(Daten!$P40+Daten!$Q40+Daten!$S40=3,1,0)</f>
        <v>0</v>
      </c>
      <c r="F40" s="173">
        <f ca="1">IF(AND(Limits!$Q$21=TRUE,Daten!O40=1)=TRUE,1,0)</f>
        <v>1</v>
      </c>
      <c r="G40" s="174">
        <f ca="1">IF(AND(Limits!$Q$25=TRUE,Daten!N40=1)=TRUE,1,0)</f>
        <v>0</v>
      </c>
      <c r="H40" s="174">
        <f ca="1">IF(AND(Limits!$Q$24=TRUE,Daten!M40=1)=TRUE,1,0)</f>
        <v>0</v>
      </c>
      <c r="I40" s="174">
        <f ca="1">IF(AND(Limits!$Q$23=TRUE,Daten!L40=1)=TRUE,1,0)</f>
        <v>0</v>
      </c>
      <c r="J40" s="174">
        <f ca="1">IF(AND(Limits!$Q$22=TRUE,Daten!K40=1)=TRUE,1,0)</f>
        <v>0</v>
      </c>
      <c r="K40" s="188">
        <f ca="1">IF(Daten!$V40=13,1,0)</f>
        <v>0</v>
      </c>
      <c r="L40" s="189">
        <f ca="1">IF(Daten!$V40&lt;&gt;Daten!$W40,1,IF(Daten!$V40=14,1,0))</f>
        <v>0</v>
      </c>
      <c r="M40" s="189">
        <f ca="1">IF(Daten!$V40&lt;&gt;Daten!$W40,1,IF(Daten!$V40=16,1,0))</f>
        <v>0</v>
      </c>
      <c r="N40" s="189">
        <f ca="1">IF(Daten!$W40=17,1,0)</f>
        <v>0</v>
      </c>
      <c r="O40" s="190">
        <f ca="1">IF(Daten!$X40=Sprache!$A$70,1,0)</f>
        <v>1</v>
      </c>
      <c r="P40" s="198">
        <f>IF(AND(Daten!$AQ40&lt;=KINVARO!$AW$3,Daten!$AR40&gt;=KINVARO!$AW$3)=TRUE,1,0)</f>
        <v>1</v>
      </c>
      <c r="Q40" s="199">
        <f>IF(AND(Daten!$AA40&lt;=KINVARO!$AW$4,Daten!$AB40&gt;=KINVARO!$AW$4)=TRUE,1,0)</f>
        <v>0</v>
      </c>
      <c r="R40" s="199"/>
      <c r="S40" s="199">
        <f>IF(AND(Daten!$AD40&lt;=Limits!$I$70,Daten!$AE40&gt;=Limits!$I$70)=TRUE,1,0)</f>
        <v>0</v>
      </c>
      <c r="T40" s="200">
        <f ca="1">IF(Daten!$Y40=Sprache!$A$135,1,0)</f>
        <v>0</v>
      </c>
      <c r="U40" s="201" t="str">
        <f ca="1">Sprache!$A$60</f>
        <v>L-80 Вертикальный подъемник</v>
      </c>
      <c r="V40" s="202" t="str">
        <f ca="1">Sprache!$A$74</f>
        <v>var</v>
      </c>
      <c r="W40" s="200" t="str">
        <f ca="1">Sprache!$A$74</f>
        <v>var</v>
      </c>
      <c r="X40" s="203" t="str">
        <f ca="1">Sprache!$A$70</f>
        <v>соединение с древесиной</v>
      </c>
      <c r="Y40" s="187" t="str">
        <f ca="1">Sprache!$A$136</f>
        <v>nein</v>
      </c>
      <c r="Z40" s="203" t="str">
        <f ca="1">Sprache!$A$106</f>
        <v>Korpus</v>
      </c>
      <c r="AA40" s="203">
        <v>390</v>
      </c>
      <c r="AB40" s="201">
        <v>409</v>
      </c>
      <c r="AC40" s="203"/>
      <c r="AD40" s="204">
        <v>2.1</v>
      </c>
      <c r="AE40" s="205">
        <v>5.5</v>
      </c>
      <c r="AF40" s="266" t="str">
        <f>MID(Tabelle2[[#This Row],[bnr full]],1,4)</f>
        <v>F152</v>
      </c>
      <c r="AG40" s="267" t="str">
        <f>MID(Tabelle2[[#This Row],[bnr full]],5,3)</f>
        <v>147</v>
      </c>
      <c r="AH40" s="268" t="str">
        <f>MID(Tabelle2[[#This Row],[bnr full]],8,3)</f>
        <v>825</v>
      </c>
      <c r="AI40" s="267" t="str">
        <f>MID(Tabelle2[[#This Row],[bnr full]],11,3)</f>
        <v>201</v>
      </c>
      <c r="AJ40" s="253" t="str">
        <f>MID(Tabelle2[[#This Row],[bnr full]],11,3)</f>
        <v>201</v>
      </c>
      <c r="AK40" s="206" t="s">
        <v>1646</v>
      </c>
      <c r="AL40" s="201" t="str">
        <f ca="1">Sprache!$A$111</f>
        <v>Комплект (Л + П)</v>
      </c>
      <c r="AM40" s="203" t="str">
        <f ca="1">Sprache!$A$115</f>
        <v>Направляющий рычаг, тип 3</v>
      </c>
      <c r="AN40" s="203" t="str">
        <f ca="1">Sprache!$A$120</f>
        <v>Силовой механизм A</v>
      </c>
      <c r="AO40" s="203" t="s">
        <v>25</v>
      </c>
      <c r="AP40" s="203" t="s">
        <v>25</v>
      </c>
      <c r="AQ40" s="203">
        <v>450</v>
      </c>
      <c r="AR40" s="201">
        <v>1200</v>
      </c>
      <c r="AS40" s="187"/>
      <c r="AT40" s="124"/>
      <c r="AU40"/>
      <c r="AV40"/>
      <c r="AY40"/>
      <c r="AZ40"/>
      <c r="BA40"/>
      <c r="BB40"/>
      <c r="BC40"/>
    </row>
    <row r="41" spans="1:55" ht="15.75" hidden="1" thickBot="1" x14ac:dyDescent="0.3">
      <c r="A41" s="12" t="str">
        <f ca="1">IF(F41+G41+H41+I41+J41+D41+E41=3,IF(Tabelle2[[#This Row],[Kappe Weiß]]=Limits!$R$29,1,""),"")</f>
        <v/>
      </c>
      <c r="B41" s="12" t="str">
        <f ca="1">IF(G41+H41+I41+J41+E41+F41=2,IF(Tabelle2[[#This Row],[Kappe Weiß]]=Limits!$R$29,1,""),"")</f>
        <v/>
      </c>
      <c r="C41" s="291">
        <v>1</v>
      </c>
      <c r="D41" s="171">
        <f>IF(Limits!$P$4=TRUE,1,0)</f>
        <v>0</v>
      </c>
      <c r="E41" s="172">
        <f>IF(Daten!$P41+Daten!$Q41+Daten!$S41=3,1,0)</f>
        <v>0</v>
      </c>
      <c r="F41" s="173">
        <f ca="1">IF(AND(Limits!$Q$21=TRUE,Daten!O41=1)=TRUE,1,0)</f>
        <v>1</v>
      </c>
      <c r="G41" s="174">
        <f ca="1">IF(AND(Limits!$Q$25=TRUE,Daten!N41=1)=TRUE,1,0)</f>
        <v>0</v>
      </c>
      <c r="H41" s="174">
        <f ca="1">IF(AND(Limits!$Q$24=TRUE,Daten!M41=1)=TRUE,1,0)</f>
        <v>0</v>
      </c>
      <c r="I41" s="174">
        <f ca="1">IF(AND(Limits!$Q$23=TRUE,Daten!L41=1)=TRUE,1,0)</f>
        <v>0</v>
      </c>
      <c r="J41" s="174">
        <f ca="1">IF(AND(Limits!$Q$22=TRUE,Daten!K41=1)=TRUE,1,0)</f>
        <v>0</v>
      </c>
      <c r="K41" s="188">
        <f ca="1">IF(Daten!$V41=13,1,0)</f>
        <v>0</v>
      </c>
      <c r="L41" s="189">
        <f ca="1">IF(Daten!$V41&lt;&gt;Daten!$W41,1,IF(Daten!$V41=14,1,0))</f>
        <v>0</v>
      </c>
      <c r="M41" s="189">
        <f ca="1">IF(Daten!$V41&lt;&gt;Daten!$W41,1,IF(Daten!$V41=16,1,0))</f>
        <v>0</v>
      </c>
      <c r="N41" s="189">
        <f ca="1">IF(Daten!$W41=17,1,0)</f>
        <v>0</v>
      </c>
      <c r="O41" s="190">
        <f ca="1">IF(Daten!$X41=Sprache!$A$70,1,0)</f>
        <v>1</v>
      </c>
      <c r="P41" s="191">
        <f>IF(AND(Daten!$AQ41&lt;=KINVARO!$AW$3,Daten!$AR41&gt;=KINVARO!$AW$3)=TRUE,1,0)</f>
        <v>1</v>
      </c>
      <c r="Q41" s="192">
        <f>IF(AND(Daten!$AA41&lt;=KINVARO!$AW$4,Daten!$AB41&gt;=KINVARO!$AW$4)=TRUE,1,0)</f>
        <v>0</v>
      </c>
      <c r="R41" s="192"/>
      <c r="S41" s="192">
        <f>IF(AND(Daten!$AD41&lt;=Limits!$I$70,Daten!$AE41&gt;=Limits!$I$70)=TRUE,1,0)</f>
        <v>0</v>
      </c>
      <c r="T41" s="193">
        <f ca="1">IF(Daten!$Y41=Sprache!$A$135,1,0)</f>
        <v>0</v>
      </c>
      <c r="U41" s="124" t="str">
        <f ca="1">Sprache!$A$60</f>
        <v>L-80 Вертикальный подъемник</v>
      </c>
      <c r="V41" s="194" t="str">
        <f ca="1">Sprache!$A$74</f>
        <v>var</v>
      </c>
      <c r="W41" s="193" t="str">
        <f ca="1">Sprache!$A$74</f>
        <v>var</v>
      </c>
      <c r="X41" s="187" t="str">
        <f ca="1">Sprache!$A$70</f>
        <v>соединение с древесиной</v>
      </c>
      <c r="Y41" s="187" t="str">
        <f ca="1">Sprache!$A$136</f>
        <v>nein</v>
      </c>
      <c r="Z41" s="187" t="str">
        <f ca="1">Sprache!$A$106</f>
        <v>Korpus</v>
      </c>
      <c r="AA41" s="187">
        <v>390</v>
      </c>
      <c r="AB41" s="124">
        <v>409</v>
      </c>
      <c r="AC41" s="187"/>
      <c r="AD41" s="195">
        <v>5</v>
      </c>
      <c r="AE41" s="196">
        <v>8.5</v>
      </c>
      <c r="AF41" s="263" t="str">
        <f>MID(Tabelle2[[#This Row],[bnr full]],1,4)</f>
        <v>F152</v>
      </c>
      <c r="AG41" s="264" t="str">
        <f>MID(Tabelle2[[#This Row],[bnr full]],5,3)</f>
        <v>147</v>
      </c>
      <c r="AH41" s="265" t="str">
        <f>MID(Tabelle2[[#This Row],[bnr full]],8,3)</f>
        <v>830</v>
      </c>
      <c r="AI41" s="264" t="str">
        <f>MID(Tabelle2[[#This Row],[bnr full]],11,3)</f>
        <v>201</v>
      </c>
      <c r="AJ41" s="252" t="str">
        <f>MID(Tabelle2[[#This Row],[bnr full]],11,3)</f>
        <v>201</v>
      </c>
      <c r="AK41" s="197" t="s">
        <v>1647</v>
      </c>
      <c r="AL41" s="124" t="str">
        <f ca="1">Sprache!$A$111</f>
        <v>Комплект (Л + П)</v>
      </c>
      <c r="AM41" s="187" t="str">
        <f ca="1">Sprache!$A$115</f>
        <v>Направляющий рычаг, тип 3</v>
      </c>
      <c r="AN41" s="187" t="str">
        <f ca="1">Sprache!$A$121</f>
        <v>Силовой механизм B</v>
      </c>
      <c r="AO41" s="187" t="s">
        <v>25</v>
      </c>
      <c r="AP41" s="187" t="s">
        <v>25</v>
      </c>
      <c r="AQ41" s="187">
        <v>450</v>
      </c>
      <c r="AR41" s="124">
        <v>1200</v>
      </c>
      <c r="AS41" s="187"/>
      <c r="AT41" s="124"/>
      <c r="AU41"/>
      <c r="AV41"/>
      <c r="AY41"/>
      <c r="AZ41"/>
      <c r="BA41"/>
      <c r="BB41"/>
      <c r="BC41"/>
    </row>
    <row r="42" spans="1:55" ht="15.75" hidden="1" thickBot="1" x14ac:dyDescent="0.3">
      <c r="A42" s="12" t="str">
        <f ca="1">IF(F42+G42+H42+I42+J42+D42+E42=3,IF(Tabelle2[[#This Row],[Kappe Weiß]]=Limits!$R$29,1,""),"")</f>
        <v/>
      </c>
      <c r="B42" s="12" t="str">
        <f ca="1">IF(G42+H42+I42+J42+E42+F42=2,IF(Tabelle2[[#This Row],[Kappe Weiß]]=Limits!$R$29,1,""),"")</f>
        <v/>
      </c>
      <c r="C42" s="291">
        <v>1</v>
      </c>
      <c r="D42" s="171">
        <f>IF(Limits!$P$4=TRUE,1,0)</f>
        <v>0</v>
      </c>
      <c r="E42" s="172">
        <f>IF(Daten!$P42+Daten!$Q42+Daten!$S42=3,1,0)</f>
        <v>0</v>
      </c>
      <c r="F42" s="173">
        <f ca="1">IF(AND(Limits!$Q$21=TRUE,Daten!O42=1)=TRUE,1,0)</f>
        <v>1</v>
      </c>
      <c r="G42" s="174">
        <f ca="1">IF(AND(Limits!$Q$25=TRUE,Daten!N42=1)=TRUE,1,0)</f>
        <v>0</v>
      </c>
      <c r="H42" s="174">
        <f ca="1">IF(AND(Limits!$Q$24=TRUE,Daten!M42=1)=TRUE,1,0)</f>
        <v>0</v>
      </c>
      <c r="I42" s="174">
        <f ca="1">IF(AND(Limits!$Q$23=TRUE,Daten!L42=1)=TRUE,1,0)</f>
        <v>0</v>
      </c>
      <c r="J42" s="174">
        <f ca="1">IF(AND(Limits!$Q$22=TRUE,Daten!K42=1)=TRUE,1,0)</f>
        <v>0</v>
      </c>
      <c r="K42" s="188">
        <f ca="1">IF(Daten!$V42=13,1,0)</f>
        <v>0</v>
      </c>
      <c r="L42" s="189">
        <f ca="1">IF(Daten!$V42&lt;&gt;Daten!$W42,1,IF(Daten!$V42=14,1,0))</f>
        <v>0</v>
      </c>
      <c r="M42" s="189">
        <f ca="1">IF(Daten!$V42&lt;&gt;Daten!$W42,1,IF(Daten!$V42=16,1,0))</f>
        <v>0</v>
      </c>
      <c r="N42" s="189">
        <f ca="1">IF(Daten!$W42=17,1,0)</f>
        <v>0</v>
      </c>
      <c r="O42" s="190">
        <f ca="1">IF(Daten!$X42=Sprache!$A$70,1,0)</f>
        <v>1</v>
      </c>
      <c r="P42" s="191">
        <f>IF(AND(Daten!$AQ42&lt;=KINVARO!$AW$3,Daten!$AR42&gt;=KINVARO!$AW$3)=TRUE,1,0)</f>
        <v>1</v>
      </c>
      <c r="Q42" s="192">
        <f>IF(AND(Daten!$AA42&lt;=KINVARO!$AW$4,Daten!$AB42&gt;=KINVARO!$AW$4)=TRUE,1,0)</f>
        <v>0</v>
      </c>
      <c r="R42" s="192"/>
      <c r="S42" s="192">
        <f>IF(AND(Daten!$AD42&lt;=Limits!$I$70,Daten!$AE42&gt;=Limits!$I$70)=TRUE,1,0)</f>
        <v>1</v>
      </c>
      <c r="T42" s="193">
        <f ca="1">IF(Daten!$Y42=Sprache!$A$135,1,0)</f>
        <v>0</v>
      </c>
      <c r="U42" s="124" t="str">
        <f ca="1">Sprache!$A$60</f>
        <v>L-80 Вертикальный подъемник</v>
      </c>
      <c r="V42" s="194" t="str">
        <f ca="1">Sprache!$A$74</f>
        <v>var</v>
      </c>
      <c r="W42" s="193" t="str">
        <f ca="1">Sprache!$A$74</f>
        <v>var</v>
      </c>
      <c r="X42" s="187" t="str">
        <f ca="1">Sprache!$A$70</f>
        <v>соединение с древесиной</v>
      </c>
      <c r="Y42" s="187" t="str">
        <f ca="1">Sprache!$A$136</f>
        <v>nein</v>
      </c>
      <c r="Z42" s="187" t="str">
        <f ca="1">Sprache!$A$106</f>
        <v>Korpus</v>
      </c>
      <c r="AA42" s="187">
        <v>390</v>
      </c>
      <c r="AB42" s="124">
        <v>409</v>
      </c>
      <c r="AC42" s="187"/>
      <c r="AD42" s="195">
        <v>8</v>
      </c>
      <c r="AE42" s="196">
        <v>10.1</v>
      </c>
      <c r="AF42" s="263" t="str">
        <f>MID(Tabelle2[[#This Row],[bnr full]],1,4)</f>
        <v>F152</v>
      </c>
      <c r="AG42" s="264" t="str">
        <f>MID(Tabelle2[[#This Row],[bnr full]],5,3)</f>
        <v>147</v>
      </c>
      <c r="AH42" s="265" t="str">
        <f>MID(Tabelle2[[#This Row],[bnr full]],8,3)</f>
        <v>834</v>
      </c>
      <c r="AI42" s="264" t="str">
        <f>MID(Tabelle2[[#This Row],[bnr full]],11,3)</f>
        <v>201</v>
      </c>
      <c r="AJ42" s="252" t="str">
        <f>MID(Tabelle2[[#This Row],[bnr full]],11,3)</f>
        <v>201</v>
      </c>
      <c r="AK42" s="197" t="s">
        <v>1648</v>
      </c>
      <c r="AL42" s="124" t="str">
        <f ca="1">Sprache!$A$111</f>
        <v>Комплект (Л + П)</v>
      </c>
      <c r="AM42" s="187" t="str">
        <f ca="1">Sprache!$A$115</f>
        <v>Направляющий рычаг, тип 3</v>
      </c>
      <c r="AN42" s="187" t="str">
        <f ca="1">Sprache!$A$122</f>
        <v>Силовой механизм C</v>
      </c>
      <c r="AO42" s="187" t="s">
        <v>25</v>
      </c>
      <c r="AP42" s="187" t="s">
        <v>25</v>
      </c>
      <c r="AQ42" s="187">
        <v>450</v>
      </c>
      <c r="AR42" s="124">
        <v>1200</v>
      </c>
      <c r="AS42" s="187"/>
      <c r="AT42" s="124"/>
      <c r="AU42"/>
      <c r="AV42"/>
      <c r="AY42"/>
      <c r="AZ42"/>
      <c r="BA42"/>
      <c r="BB42"/>
      <c r="BC42"/>
    </row>
    <row r="43" spans="1:55" s="5" customFormat="1" ht="15.75" hidden="1" thickBot="1" x14ac:dyDescent="0.3">
      <c r="A43" s="12" t="str">
        <f ca="1">IF(F43+G43+H43+I43+J43+D43+E43=3,IF(Tabelle2[[#This Row],[Kappe Weiß]]=Limits!$R$29,1,""),"")</f>
        <v/>
      </c>
      <c r="B43" s="12" t="str">
        <f ca="1">IF(G43+H43+I43+J43+E43+F43=2,IF(Tabelle2[[#This Row],[Kappe Weiß]]=Limits!$R$29,1,""),"")</f>
        <v/>
      </c>
      <c r="C43" s="291">
        <v>1</v>
      </c>
      <c r="D43" s="171">
        <f>IF(Limits!$P$4=TRUE,1,0)</f>
        <v>0</v>
      </c>
      <c r="E43" s="172">
        <f>IF(Daten!$P43+Daten!$Q43+Daten!$S43=3,1,0)</f>
        <v>0</v>
      </c>
      <c r="F43" s="173">
        <f ca="1">IF(AND(Limits!$Q$21=TRUE,Daten!O43=1)=TRUE,1,0)</f>
        <v>0</v>
      </c>
      <c r="G43" s="174">
        <f>IF(AND(Limits!$Q$25=TRUE,Daten!N43=1)=TRUE,1,0)</f>
        <v>0</v>
      </c>
      <c r="H43" s="174">
        <f>IF(AND(Limits!$Q$24=TRUE,Daten!M43=1)=TRUE,1,0)</f>
        <v>0</v>
      </c>
      <c r="I43" s="174">
        <f>IF(AND(Limits!$Q$23=TRUE,Daten!L43=1)=TRUE,1,0)</f>
        <v>0</v>
      </c>
      <c r="J43" s="174">
        <f>IF(AND(Limits!$Q$22=TRUE,Daten!K43=1)=TRUE,1,0)</f>
        <v>0</v>
      </c>
      <c r="K43" s="188">
        <f>IF(Daten!$V43=13,1,0)</f>
        <v>1</v>
      </c>
      <c r="L43" s="189">
        <f>IF(Daten!$V43&lt;&gt;Daten!$W43,1,IF(Daten!$V43=14,1,0))</f>
        <v>1</v>
      </c>
      <c r="M43" s="189">
        <f>IF(Daten!$V43&lt;&gt;Daten!$W43,1,IF(Daten!$V43=16,1,0))</f>
        <v>1</v>
      </c>
      <c r="N43" s="189">
        <f>IF(Daten!$W43=17,1,0)</f>
        <v>1</v>
      </c>
      <c r="O43" s="190">
        <f ca="1">IF(Daten!$X43=Sprache!$A$70,1,0)</f>
        <v>0</v>
      </c>
      <c r="P43" s="191">
        <f>IF(AND(Daten!$AQ43&lt;=KINVARO!$AW$3,Daten!$AR43&gt;=KINVARO!$AW$3)=TRUE,1,0)</f>
        <v>1</v>
      </c>
      <c r="Q43" s="192">
        <f>IF(AND(Daten!$AA43&lt;=KINVARO!$AW$4,Daten!$AB43&gt;=KINVARO!$AW$4)=TRUE,1,0)</f>
        <v>0</v>
      </c>
      <c r="R43" s="192"/>
      <c r="S43" s="192">
        <f>IF(AND(Daten!$AD43&lt;=Limits!$I$70,Daten!$AE43&gt;=Limits!$I$70)=TRUE,1,0)</f>
        <v>0</v>
      </c>
      <c r="T43" s="193">
        <f ca="1">IF(Daten!$Y43=Sprache!$A$135,1,0)</f>
        <v>0</v>
      </c>
      <c r="U43" s="124" t="str">
        <f ca="1">Sprache!$A$60</f>
        <v>L-80 Вертикальный подъемник</v>
      </c>
      <c r="V43" s="194">
        <v>13</v>
      </c>
      <c r="W43" s="193">
        <v>17</v>
      </c>
      <c r="X43" s="187" t="str">
        <f ca="1">Sprache!$A$141</f>
        <v>Alu</v>
      </c>
      <c r="Y43" s="187" t="str">
        <f ca="1">Sprache!$A$136</f>
        <v>nein</v>
      </c>
      <c r="Z43" s="187" t="str">
        <f ca="1">Sprache!$A$106</f>
        <v>Korpus</v>
      </c>
      <c r="AA43" s="187">
        <v>390</v>
      </c>
      <c r="AB43" s="124">
        <v>409</v>
      </c>
      <c r="AC43" s="187"/>
      <c r="AD43" s="195">
        <v>2.1</v>
      </c>
      <c r="AE43" s="196">
        <v>5.5</v>
      </c>
      <c r="AF43" s="263" t="str">
        <f>MID(Tabelle2[[#This Row],[bnr full]],1,4)</f>
        <v>F152</v>
      </c>
      <c r="AG43" s="264" t="str">
        <f>MID(Tabelle2[[#This Row],[bnr full]],5,3)</f>
        <v>147</v>
      </c>
      <c r="AH43" s="265" t="str">
        <f>MID(Tabelle2[[#This Row],[bnr full]],8,3)</f>
        <v>825</v>
      </c>
      <c r="AI43" s="264" t="str">
        <f>MID(Tabelle2[[#This Row],[bnr full]],11,3)</f>
        <v>201</v>
      </c>
      <c r="AJ43" s="252" t="str">
        <f>MID(Tabelle2[[#This Row],[bnr full]],11,3)</f>
        <v>201</v>
      </c>
      <c r="AK43" s="197" t="s">
        <v>1646</v>
      </c>
      <c r="AL43" s="124" t="str">
        <f ca="1">Sprache!$A$111</f>
        <v>Комплект (Л + П)</v>
      </c>
      <c r="AM43" s="187" t="str">
        <f ca="1">Sprache!$A$115</f>
        <v>Направляющий рычаг, тип 3</v>
      </c>
      <c r="AN43" s="187" t="str">
        <f ca="1">Sprache!$A$120</f>
        <v>Силовой механизм A</v>
      </c>
      <c r="AO43" s="187" t="str">
        <f ca="1">Sprache!$A$143</f>
        <v>Адаптер под алюминиевые рамки к комплекту Kinvaro L-80</v>
      </c>
      <c r="AP43" s="187" t="s">
        <v>814</v>
      </c>
      <c r="AQ43" s="187">
        <v>450</v>
      </c>
      <c r="AR43" s="124">
        <v>1200</v>
      </c>
      <c r="AS43" s="187"/>
      <c r="AT43" s="124"/>
    </row>
    <row r="44" spans="1:55" ht="15.75" hidden="1" thickBot="1" x14ac:dyDescent="0.3">
      <c r="A44" s="12" t="str">
        <f ca="1">IF(F44+G44+H44+I44+J44+D44+E44=3,IF(Tabelle2[[#This Row],[Kappe Weiß]]=Limits!$R$29,1,""),"")</f>
        <v/>
      </c>
      <c r="B44" s="12" t="str">
        <f ca="1">IF(G44+H44+I44+J44+E44+F44=2,IF(Tabelle2[[#This Row],[Kappe Weiß]]=Limits!$R$29,1,""),"")</f>
        <v/>
      </c>
      <c r="C44" s="291">
        <v>1</v>
      </c>
      <c r="D44" s="171">
        <f>IF(Limits!$P$4=TRUE,1,0)</f>
        <v>0</v>
      </c>
      <c r="E44" s="172">
        <f>IF(Daten!$P44+Daten!$Q44+Daten!$S44=3,1,0)</f>
        <v>0</v>
      </c>
      <c r="F44" s="173">
        <f ca="1">IF(AND(Limits!$Q$21=TRUE,Daten!O44=1)=TRUE,1,0)</f>
        <v>0</v>
      </c>
      <c r="G44" s="174">
        <f>IF(AND(Limits!$Q$25=TRUE,Daten!N44=1)=TRUE,1,0)</f>
        <v>0</v>
      </c>
      <c r="H44" s="174">
        <f>IF(AND(Limits!$Q$24=TRUE,Daten!M44=1)=TRUE,1,0)</f>
        <v>0</v>
      </c>
      <c r="I44" s="174">
        <f>IF(AND(Limits!$Q$23=TRUE,Daten!L44=1)=TRUE,1,0)</f>
        <v>0</v>
      </c>
      <c r="J44" s="174">
        <f>IF(AND(Limits!$Q$22=TRUE,Daten!K44=1)=TRUE,1,0)</f>
        <v>0</v>
      </c>
      <c r="K44" s="188">
        <f>IF(Daten!$V44=13,1,0)</f>
        <v>1</v>
      </c>
      <c r="L44" s="189">
        <f>IF(Daten!$V44&lt;&gt;Daten!$W44,1,IF(Daten!$V44=14,1,0))</f>
        <v>1</v>
      </c>
      <c r="M44" s="189">
        <f>IF(Daten!$V44&lt;&gt;Daten!$W44,1,IF(Daten!$V44=16,1,0))</f>
        <v>1</v>
      </c>
      <c r="N44" s="189">
        <f>IF(Daten!$W44=17,1,0)</f>
        <v>1</v>
      </c>
      <c r="O44" s="190">
        <f ca="1">IF(Daten!$X44=Sprache!$A$70,1,0)</f>
        <v>0</v>
      </c>
      <c r="P44" s="191">
        <f>IF(AND(Daten!$AQ44&lt;=KINVARO!$AW$3,Daten!$AR44&gt;=KINVARO!$AW$3)=TRUE,1,0)</f>
        <v>1</v>
      </c>
      <c r="Q44" s="192">
        <f>IF(AND(Daten!$AA44&lt;=KINVARO!$AW$4,Daten!$AB44&gt;=KINVARO!$AW$4)=TRUE,1,0)</f>
        <v>0</v>
      </c>
      <c r="R44" s="192"/>
      <c r="S44" s="192">
        <f>IF(AND(Daten!$AD44&lt;=Limits!$I$70,Daten!$AE44&gt;=Limits!$I$70)=TRUE,1,0)</f>
        <v>0</v>
      </c>
      <c r="T44" s="193">
        <f ca="1">IF(Daten!$Y44=Sprache!$A$135,1,0)</f>
        <v>0</v>
      </c>
      <c r="U44" s="124" t="str">
        <f ca="1">Sprache!$A$60</f>
        <v>L-80 Вертикальный подъемник</v>
      </c>
      <c r="V44" s="194">
        <v>13</v>
      </c>
      <c r="W44" s="193">
        <v>17</v>
      </c>
      <c r="X44" s="187" t="str">
        <f ca="1">Sprache!$A$141</f>
        <v>Alu</v>
      </c>
      <c r="Y44" s="187" t="str">
        <f ca="1">Sprache!$A$136</f>
        <v>nein</v>
      </c>
      <c r="Z44" s="187" t="str">
        <f ca="1">Sprache!$A$106</f>
        <v>Korpus</v>
      </c>
      <c r="AA44" s="187">
        <v>390</v>
      </c>
      <c r="AB44" s="124">
        <v>409</v>
      </c>
      <c r="AC44" s="187"/>
      <c r="AD44" s="195">
        <v>5</v>
      </c>
      <c r="AE44" s="196">
        <v>8.5</v>
      </c>
      <c r="AF44" s="263" t="str">
        <f>MID(Tabelle2[[#This Row],[bnr full]],1,4)</f>
        <v>F152</v>
      </c>
      <c r="AG44" s="264" t="str">
        <f>MID(Tabelle2[[#This Row],[bnr full]],5,3)</f>
        <v>147</v>
      </c>
      <c r="AH44" s="265" t="str">
        <f>MID(Tabelle2[[#This Row],[bnr full]],8,3)</f>
        <v>830</v>
      </c>
      <c r="AI44" s="264" t="str">
        <f>MID(Tabelle2[[#This Row],[bnr full]],11,3)</f>
        <v>201</v>
      </c>
      <c r="AJ44" s="252" t="str">
        <f>MID(Tabelle2[[#This Row],[bnr full]],11,3)</f>
        <v>201</v>
      </c>
      <c r="AK44" s="197" t="s">
        <v>1647</v>
      </c>
      <c r="AL44" s="124" t="str">
        <f ca="1">Sprache!$A$111</f>
        <v>Комплект (Л + П)</v>
      </c>
      <c r="AM44" s="187" t="str">
        <f ca="1">Sprache!$A$115</f>
        <v>Направляющий рычаг, тип 3</v>
      </c>
      <c r="AN44" s="187" t="str">
        <f ca="1">Sprache!$A$121</f>
        <v>Силовой механизм B</v>
      </c>
      <c r="AO44" s="187" t="str">
        <f ca="1">Sprache!$A$143</f>
        <v>Адаптер под алюминиевые рамки к комплекту Kinvaro L-80</v>
      </c>
      <c r="AP44" s="187" t="s">
        <v>814</v>
      </c>
      <c r="AQ44" s="187">
        <v>450</v>
      </c>
      <c r="AR44" s="124">
        <v>1200</v>
      </c>
      <c r="AS44" s="187"/>
      <c r="AT44" s="124"/>
      <c r="AU44"/>
      <c r="AV44"/>
      <c r="AY44"/>
      <c r="AZ44"/>
      <c r="BA44"/>
      <c r="BB44"/>
      <c r="BC44"/>
    </row>
    <row r="45" spans="1:55" ht="15.75" hidden="1" thickBot="1" x14ac:dyDescent="0.3">
      <c r="A45" s="12" t="str">
        <f ca="1">IF(F45+G45+H45+I45+J45+D45+E45=3,IF(Tabelle2[[#This Row],[Kappe Weiß]]=Limits!$R$29,1,""),"")</f>
        <v/>
      </c>
      <c r="B45" s="12" t="str">
        <f ca="1">IF(G45+H45+I45+J45+E45+F45=2,IF(Tabelle2[[#This Row],[Kappe Weiß]]=Limits!$R$29,1,""),"")</f>
        <v/>
      </c>
      <c r="C45" s="291">
        <v>1</v>
      </c>
      <c r="D45" s="171">
        <f>IF(Limits!$P$4=TRUE,1,0)</f>
        <v>0</v>
      </c>
      <c r="E45" s="172">
        <f>IF(Daten!$P45+Daten!$Q45+Daten!$S45=3,1,0)</f>
        <v>0</v>
      </c>
      <c r="F45" s="173">
        <f ca="1">IF(AND(Limits!$Q$21=TRUE,Daten!O45=1)=TRUE,1,0)</f>
        <v>0</v>
      </c>
      <c r="G45" s="174">
        <f>IF(AND(Limits!$Q$25=TRUE,Daten!N45=1)=TRUE,1,0)</f>
        <v>0</v>
      </c>
      <c r="H45" s="174">
        <f>IF(AND(Limits!$Q$24=TRUE,Daten!M45=1)=TRUE,1,0)</f>
        <v>0</v>
      </c>
      <c r="I45" s="174">
        <f>IF(AND(Limits!$Q$23=TRUE,Daten!L45=1)=TRUE,1,0)</f>
        <v>0</v>
      </c>
      <c r="J45" s="174">
        <f>IF(AND(Limits!$Q$22=TRUE,Daten!K45=1)=TRUE,1,0)</f>
        <v>0</v>
      </c>
      <c r="K45" s="188">
        <f>IF(Daten!$V45=13,1,0)</f>
        <v>1</v>
      </c>
      <c r="L45" s="189">
        <f>IF(Daten!$V45&lt;&gt;Daten!$W45,1,IF(Daten!$V45=14,1,0))</f>
        <v>1</v>
      </c>
      <c r="M45" s="189">
        <f>IF(Daten!$V45&lt;&gt;Daten!$W45,1,IF(Daten!$V45=16,1,0))</f>
        <v>1</v>
      </c>
      <c r="N45" s="189">
        <f>IF(Daten!$W45=17,1,0)</f>
        <v>1</v>
      </c>
      <c r="O45" s="190">
        <f ca="1">IF(Daten!$X45=Sprache!$A$70,1,0)</f>
        <v>0</v>
      </c>
      <c r="P45" s="191">
        <f>IF(AND(Daten!$AQ45&lt;=KINVARO!$AW$3,Daten!$AR45&gt;=KINVARO!$AW$3)=TRUE,1,0)</f>
        <v>1</v>
      </c>
      <c r="Q45" s="192">
        <f>IF(AND(Daten!$AA45&lt;=KINVARO!$AW$4,Daten!$AB45&gt;=KINVARO!$AW$4)=TRUE,1,0)</f>
        <v>0</v>
      </c>
      <c r="R45" s="192"/>
      <c r="S45" s="192">
        <f>IF(AND(Daten!$AD45&lt;=Limits!$I$70,Daten!$AE45&gt;=Limits!$I$70)=TRUE,1,0)</f>
        <v>1</v>
      </c>
      <c r="T45" s="193">
        <f ca="1">IF(Daten!$Y45=Sprache!$A$135,1,0)</f>
        <v>0</v>
      </c>
      <c r="U45" s="124" t="str">
        <f ca="1">Sprache!$A$60</f>
        <v>L-80 Вертикальный подъемник</v>
      </c>
      <c r="V45" s="194">
        <v>13</v>
      </c>
      <c r="W45" s="193">
        <v>17</v>
      </c>
      <c r="X45" s="187" t="str">
        <f ca="1">Sprache!$A$141</f>
        <v>Alu</v>
      </c>
      <c r="Y45" s="187" t="str">
        <f ca="1">Sprache!$A$136</f>
        <v>nein</v>
      </c>
      <c r="Z45" s="187" t="str">
        <f ca="1">Sprache!$A$106</f>
        <v>Korpus</v>
      </c>
      <c r="AA45" s="187">
        <v>390</v>
      </c>
      <c r="AB45" s="124">
        <v>409</v>
      </c>
      <c r="AC45" s="187"/>
      <c r="AD45" s="195">
        <v>8</v>
      </c>
      <c r="AE45" s="196">
        <v>10.1</v>
      </c>
      <c r="AF45" s="263" t="str">
        <f>MID(Tabelle2[[#This Row],[bnr full]],1,4)</f>
        <v>F152</v>
      </c>
      <c r="AG45" s="264" t="str">
        <f>MID(Tabelle2[[#This Row],[bnr full]],5,3)</f>
        <v>147</v>
      </c>
      <c r="AH45" s="265" t="str">
        <f>MID(Tabelle2[[#This Row],[bnr full]],8,3)</f>
        <v>834</v>
      </c>
      <c r="AI45" s="264" t="str">
        <f>MID(Tabelle2[[#This Row],[bnr full]],11,3)</f>
        <v>201</v>
      </c>
      <c r="AJ45" s="252" t="str">
        <f>MID(Tabelle2[[#This Row],[bnr full]],11,3)</f>
        <v>201</v>
      </c>
      <c r="AK45" s="197" t="s">
        <v>1648</v>
      </c>
      <c r="AL45" s="124" t="str">
        <f ca="1">Sprache!$A$111</f>
        <v>Комплект (Л + П)</v>
      </c>
      <c r="AM45" s="187" t="str">
        <f ca="1">Sprache!$A$115</f>
        <v>Направляющий рычаг, тип 3</v>
      </c>
      <c r="AN45" s="187" t="str">
        <f ca="1">Sprache!$A$122</f>
        <v>Силовой механизм C</v>
      </c>
      <c r="AO45" s="187" t="str">
        <f ca="1">Sprache!$A$143</f>
        <v>Адаптер под алюминиевые рамки к комплекту Kinvaro L-80</v>
      </c>
      <c r="AP45" s="187" t="s">
        <v>814</v>
      </c>
      <c r="AQ45" s="187">
        <v>450</v>
      </c>
      <c r="AR45" s="124">
        <v>1200</v>
      </c>
      <c r="AS45" s="187"/>
      <c r="AT45" s="124"/>
      <c r="AU45"/>
      <c r="AV45"/>
      <c r="AY45"/>
      <c r="AZ45"/>
      <c r="BA45"/>
      <c r="BB45"/>
      <c r="BC45"/>
    </row>
    <row r="46" spans="1:55" ht="15.75" hidden="1" thickBot="1" x14ac:dyDescent="0.3">
      <c r="A46" s="12" t="str">
        <f ca="1">IF(F46+G46+H46+I46+J46+D46+E46=3,IF(Tabelle2[[#This Row],[Kappe Weiß]]=Limits!$R$29,1,""),"")</f>
        <v/>
      </c>
      <c r="B46" s="12" t="str">
        <f ca="1">IF(G46+H46+I46+J46+E46+F46=2,IF(Tabelle2[[#This Row],[Kappe Weiß]]=Limits!$R$29,1,""),"")</f>
        <v/>
      </c>
      <c r="C46" s="292">
        <v>1</v>
      </c>
      <c r="D46" s="171">
        <f>IF(Limits!$P$4=TRUE,1,0)</f>
        <v>0</v>
      </c>
      <c r="E46" s="172">
        <f>IF(Daten!$P46+Daten!$Q46+Daten!$S46=3,1,0)</f>
        <v>0</v>
      </c>
      <c r="F46" s="173">
        <f ca="1">IF(AND(Limits!$Q$21=TRUE,Daten!O46=1)=TRUE,1,0)</f>
        <v>1</v>
      </c>
      <c r="G46" s="174">
        <f ca="1">IF(AND(Limits!$Q$25=TRUE,Daten!N46=1)=TRUE,1,0)</f>
        <v>0</v>
      </c>
      <c r="H46" s="174">
        <f ca="1">IF(AND(Limits!$Q$24=TRUE,Daten!M46=1)=TRUE,1,0)</f>
        <v>0</v>
      </c>
      <c r="I46" s="174">
        <f ca="1">IF(AND(Limits!$Q$23=TRUE,Daten!L46=1)=TRUE,1,0)</f>
        <v>0</v>
      </c>
      <c r="J46" s="174">
        <f ca="1">IF(AND(Limits!$Q$22=TRUE,Daten!K46=1)=TRUE,1,0)</f>
        <v>0</v>
      </c>
      <c r="K46" s="188">
        <f ca="1">IF(Daten!$V46=13,1,0)</f>
        <v>0</v>
      </c>
      <c r="L46" s="189">
        <f ca="1">IF(Daten!$V46&lt;&gt;Daten!$W46,1,IF(Daten!$V46=14,1,0))</f>
        <v>0</v>
      </c>
      <c r="M46" s="189">
        <f ca="1">IF(Daten!$V46&lt;&gt;Daten!$W46,1,IF(Daten!$V46=16,1,0))</f>
        <v>0</v>
      </c>
      <c r="N46" s="189">
        <f ca="1">IF(Daten!$W46=17,1,0)</f>
        <v>0</v>
      </c>
      <c r="O46" s="190">
        <f ca="1">IF(Daten!$X46=Sprache!$A$70,1,0)</f>
        <v>1</v>
      </c>
      <c r="P46" s="198">
        <f>IF(AND(Daten!$AQ46&lt;=KINVARO!$AW$3,Daten!$AR46&gt;=KINVARO!$AW$3)=TRUE,1,0)</f>
        <v>1</v>
      </c>
      <c r="Q46" s="199">
        <f>IF(AND(Daten!$AA46&lt;=KINVARO!$AW$4,Daten!$AB46&gt;=KINVARO!$AW$4)=TRUE,1,0)</f>
        <v>0</v>
      </c>
      <c r="R46" s="199"/>
      <c r="S46" s="199">
        <f>IF(AND(Daten!$AD46&lt;=Limits!$I$70,Daten!$AE46&gt;=Limits!$I$70)=TRUE,1,0)</f>
        <v>0</v>
      </c>
      <c r="T46" s="200">
        <f ca="1">IF(Daten!$Y46=Sprache!$A$135,1,0)</f>
        <v>0</v>
      </c>
      <c r="U46" s="201" t="str">
        <f ca="1">Sprache!$A$60</f>
        <v>L-80 Вертикальный подъемник</v>
      </c>
      <c r="V46" s="202" t="str">
        <f ca="1">Sprache!$A$74</f>
        <v>var</v>
      </c>
      <c r="W46" s="200" t="str">
        <f ca="1">Sprache!$A$74</f>
        <v>var</v>
      </c>
      <c r="X46" s="203" t="str">
        <f ca="1">Sprache!$A$70</f>
        <v>соединение с древесиной</v>
      </c>
      <c r="Y46" s="187" t="str">
        <f ca="1">Sprache!$A$136</f>
        <v>nein</v>
      </c>
      <c r="Z46" s="203" t="str">
        <f ca="1">Sprache!$A$106</f>
        <v>Korpus</v>
      </c>
      <c r="AA46" s="203">
        <v>410</v>
      </c>
      <c r="AB46" s="201">
        <v>429</v>
      </c>
      <c r="AC46" s="203"/>
      <c r="AD46" s="204">
        <v>1.9</v>
      </c>
      <c r="AE46" s="205">
        <v>5</v>
      </c>
      <c r="AF46" s="266" t="str">
        <f>MID(Tabelle2[[#This Row],[bnr full]],1,4)</f>
        <v>F152</v>
      </c>
      <c r="AG46" s="267" t="str">
        <f>MID(Tabelle2[[#This Row],[bnr full]],5,3)</f>
        <v>147</v>
      </c>
      <c r="AH46" s="268" t="str">
        <f>MID(Tabelle2[[#This Row],[bnr full]],8,3)</f>
        <v>826</v>
      </c>
      <c r="AI46" s="267" t="str">
        <f>MID(Tabelle2[[#This Row],[bnr full]],11,3)</f>
        <v>201</v>
      </c>
      <c r="AJ46" s="253" t="str">
        <f>MID(Tabelle2[[#This Row],[bnr full]],11,3)</f>
        <v>201</v>
      </c>
      <c r="AK46" s="206" t="s">
        <v>1649</v>
      </c>
      <c r="AL46" s="201" t="str">
        <f ca="1">Sprache!$A$111</f>
        <v>Комплект (Л + П)</v>
      </c>
      <c r="AM46" s="203" t="str">
        <f ca="1">Sprache!$A$116</f>
        <v>Направляющий рычаг, тип 4</v>
      </c>
      <c r="AN46" s="203" t="str">
        <f ca="1">Sprache!$A$120</f>
        <v>Силовой механизм A</v>
      </c>
      <c r="AO46" s="203" t="s">
        <v>25</v>
      </c>
      <c r="AP46" s="203" t="s">
        <v>25</v>
      </c>
      <c r="AQ46" s="203">
        <v>450</v>
      </c>
      <c r="AR46" s="201">
        <v>1200</v>
      </c>
      <c r="AS46" s="187"/>
      <c r="AT46" s="124"/>
      <c r="AU46"/>
      <c r="AV46"/>
      <c r="AY46"/>
      <c r="AZ46"/>
      <c r="BA46"/>
      <c r="BB46"/>
      <c r="BC46"/>
    </row>
    <row r="47" spans="1:55" s="5" customFormat="1" ht="15.75" hidden="1" thickBot="1" x14ac:dyDescent="0.3">
      <c r="A47" s="12" t="str">
        <f ca="1">IF(F47+G47+H47+I47+J47+D47+E47=3,IF(Tabelle2[[#This Row],[Kappe Weiß]]=Limits!$R$29,1,""),"")</f>
        <v/>
      </c>
      <c r="B47" s="12" t="str">
        <f ca="1">IF(G47+H47+I47+J47+E47+F47=2,IF(Tabelle2[[#This Row],[Kappe Weiß]]=Limits!$R$29,1,""),"")</f>
        <v/>
      </c>
      <c r="C47" s="291">
        <v>1</v>
      </c>
      <c r="D47" s="171">
        <f>IF(Limits!$P$4=TRUE,1,0)</f>
        <v>0</v>
      </c>
      <c r="E47" s="172">
        <f>IF(Daten!$P47+Daten!$Q47+Daten!$S47=3,1,0)</f>
        <v>0</v>
      </c>
      <c r="F47" s="173">
        <f ca="1">IF(AND(Limits!$Q$21=TRUE,Daten!O47=1)=TRUE,1,0)</f>
        <v>1</v>
      </c>
      <c r="G47" s="174">
        <f ca="1">IF(AND(Limits!$Q$25=TRUE,Daten!N47=1)=TRUE,1,0)</f>
        <v>0</v>
      </c>
      <c r="H47" s="174">
        <f ca="1">IF(AND(Limits!$Q$24=TRUE,Daten!M47=1)=TRUE,1,0)</f>
        <v>0</v>
      </c>
      <c r="I47" s="174">
        <f ca="1">IF(AND(Limits!$Q$23=TRUE,Daten!L47=1)=TRUE,1,0)</f>
        <v>0</v>
      </c>
      <c r="J47" s="174">
        <f ca="1">IF(AND(Limits!$Q$22=TRUE,Daten!K47=1)=TRUE,1,0)</f>
        <v>0</v>
      </c>
      <c r="K47" s="188">
        <f ca="1">IF(Daten!$V47=13,1,0)</f>
        <v>0</v>
      </c>
      <c r="L47" s="189">
        <f ca="1">IF(Daten!$V47&lt;&gt;Daten!$W47,1,IF(Daten!$V47=14,1,0))</f>
        <v>0</v>
      </c>
      <c r="M47" s="189">
        <f ca="1">IF(Daten!$V47&lt;&gt;Daten!$W47,1,IF(Daten!$V47=16,1,0))</f>
        <v>0</v>
      </c>
      <c r="N47" s="189">
        <f ca="1">IF(Daten!$W47=17,1,0)</f>
        <v>0</v>
      </c>
      <c r="O47" s="190">
        <f ca="1">IF(Daten!$X47=Sprache!$A$70,1,0)</f>
        <v>1</v>
      </c>
      <c r="P47" s="191">
        <f>IF(AND(Daten!$AQ47&lt;=KINVARO!$AW$3,Daten!$AR47&gt;=KINVARO!$AW$3)=TRUE,1,0)</f>
        <v>1</v>
      </c>
      <c r="Q47" s="192">
        <f>IF(AND(Daten!$AA47&lt;=KINVARO!$AW$4,Daten!$AB47&gt;=KINVARO!$AW$4)=TRUE,1,0)</f>
        <v>0</v>
      </c>
      <c r="R47" s="192"/>
      <c r="S47" s="192">
        <f>IF(AND(Daten!$AD47&lt;=Limits!$I$70,Daten!$AE47&gt;=Limits!$I$70)=TRUE,1,0)</f>
        <v>0</v>
      </c>
      <c r="T47" s="193">
        <f ca="1">IF(Daten!$Y47=Sprache!$A$135,1,0)</f>
        <v>0</v>
      </c>
      <c r="U47" s="124" t="str">
        <f ca="1">Sprache!$A$60</f>
        <v>L-80 Вертикальный подъемник</v>
      </c>
      <c r="V47" s="194" t="str">
        <f ca="1">Sprache!$A$74</f>
        <v>var</v>
      </c>
      <c r="W47" s="193" t="str">
        <f ca="1">Sprache!$A$74</f>
        <v>var</v>
      </c>
      <c r="X47" s="187" t="str">
        <f ca="1">Sprache!$A$70</f>
        <v>соединение с древесиной</v>
      </c>
      <c r="Y47" s="187" t="str">
        <f ca="1">Sprache!$A$136</f>
        <v>nein</v>
      </c>
      <c r="Z47" s="187" t="str">
        <f ca="1">Sprache!$A$106</f>
        <v>Korpus</v>
      </c>
      <c r="AA47" s="187">
        <v>410</v>
      </c>
      <c r="AB47" s="124">
        <v>429</v>
      </c>
      <c r="AC47" s="187"/>
      <c r="AD47" s="195">
        <v>4.5</v>
      </c>
      <c r="AE47" s="196">
        <v>8</v>
      </c>
      <c r="AF47" s="263" t="str">
        <f>MID(Tabelle2[[#This Row],[bnr full]],1,4)</f>
        <v>F152</v>
      </c>
      <c r="AG47" s="264" t="str">
        <f>MID(Tabelle2[[#This Row],[bnr full]],5,3)</f>
        <v>147</v>
      </c>
      <c r="AH47" s="265" t="str">
        <f>MID(Tabelle2[[#This Row],[bnr full]],8,3)</f>
        <v>831</v>
      </c>
      <c r="AI47" s="264" t="str">
        <f>MID(Tabelle2[[#This Row],[bnr full]],11,3)</f>
        <v>201</v>
      </c>
      <c r="AJ47" s="252" t="str">
        <f>MID(Tabelle2[[#This Row],[bnr full]],11,3)</f>
        <v>201</v>
      </c>
      <c r="AK47" s="197" t="s">
        <v>1650</v>
      </c>
      <c r="AL47" s="124" t="str">
        <f ca="1">Sprache!$A$111</f>
        <v>Комплект (Л + П)</v>
      </c>
      <c r="AM47" s="187" t="str">
        <f ca="1">Sprache!$A$116</f>
        <v>Направляющий рычаг, тип 4</v>
      </c>
      <c r="AN47" s="187" t="str">
        <f ca="1">Sprache!$A$121</f>
        <v>Силовой механизм B</v>
      </c>
      <c r="AO47" s="187" t="s">
        <v>25</v>
      </c>
      <c r="AP47" s="187" t="s">
        <v>25</v>
      </c>
      <c r="AQ47" s="187">
        <v>450</v>
      </c>
      <c r="AR47" s="124">
        <v>1200</v>
      </c>
      <c r="AS47" s="187"/>
      <c r="AT47" s="124"/>
    </row>
    <row r="48" spans="1:55" ht="15.75" hidden="1" thickBot="1" x14ac:dyDescent="0.3">
      <c r="A48" s="12" t="str">
        <f ca="1">IF(F48+G48+H48+I48+J48+D48+E48=3,IF(Tabelle2[[#This Row],[Kappe Weiß]]=Limits!$R$29,1,""),"")</f>
        <v/>
      </c>
      <c r="B48" s="12" t="str">
        <f ca="1">IF(G48+H48+I48+J48+E48+F48=2,IF(Tabelle2[[#This Row],[Kappe Weiß]]=Limits!$R$29,1,""),"")</f>
        <v/>
      </c>
      <c r="C48" s="291">
        <v>1</v>
      </c>
      <c r="D48" s="171">
        <f>IF(Limits!$P$4=TRUE,1,0)</f>
        <v>0</v>
      </c>
      <c r="E48" s="172">
        <f>IF(Daten!$P48+Daten!$Q48+Daten!$S48=3,1,0)</f>
        <v>0</v>
      </c>
      <c r="F48" s="173">
        <f ca="1">IF(AND(Limits!$Q$21=TRUE,Daten!O48=1)=TRUE,1,0)</f>
        <v>1</v>
      </c>
      <c r="G48" s="174">
        <f ca="1">IF(AND(Limits!$Q$25=TRUE,Daten!N48=1)=TRUE,1,0)</f>
        <v>0</v>
      </c>
      <c r="H48" s="174">
        <f ca="1">IF(AND(Limits!$Q$24=TRUE,Daten!M48=1)=TRUE,1,0)</f>
        <v>0</v>
      </c>
      <c r="I48" s="174">
        <f ca="1">IF(AND(Limits!$Q$23=TRUE,Daten!L48=1)=TRUE,1,0)</f>
        <v>0</v>
      </c>
      <c r="J48" s="174">
        <f ca="1">IF(AND(Limits!$Q$22=TRUE,Daten!K48=1)=TRUE,1,0)</f>
        <v>0</v>
      </c>
      <c r="K48" s="188">
        <f ca="1">IF(Daten!$V48=13,1,0)</f>
        <v>0</v>
      </c>
      <c r="L48" s="189">
        <f ca="1">IF(Daten!$V48&lt;&gt;Daten!$W48,1,IF(Daten!$V48=14,1,0))</f>
        <v>0</v>
      </c>
      <c r="M48" s="189">
        <f ca="1">IF(Daten!$V48&lt;&gt;Daten!$W48,1,IF(Daten!$V48=16,1,0))</f>
        <v>0</v>
      </c>
      <c r="N48" s="189">
        <f ca="1">IF(Daten!$W48=17,1,0)</f>
        <v>0</v>
      </c>
      <c r="O48" s="190">
        <f ca="1">IF(Daten!$X48=Sprache!$A$70,1,0)</f>
        <v>1</v>
      </c>
      <c r="P48" s="191">
        <f>IF(AND(Daten!$AQ48&lt;=KINVARO!$AW$3,Daten!$AR48&gt;=KINVARO!$AW$3)=TRUE,1,0)</f>
        <v>1</v>
      </c>
      <c r="Q48" s="192">
        <f>IF(AND(Daten!$AA48&lt;=KINVARO!$AW$4,Daten!$AB48&gt;=KINVARO!$AW$4)=TRUE,1,0)</f>
        <v>0</v>
      </c>
      <c r="R48" s="192"/>
      <c r="S48" s="192">
        <f>IF(AND(Daten!$AD48&lt;=Limits!$I$70,Daten!$AE48&gt;=Limits!$I$70)=TRUE,1,0)</f>
        <v>1</v>
      </c>
      <c r="T48" s="193">
        <f ca="1">IF(Daten!$Y48=Sprache!$A$135,1,0)</f>
        <v>0</v>
      </c>
      <c r="U48" s="124" t="str">
        <f ca="1">Sprache!$A$60</f>
        <v>L-80 Вертикальный подъемник</v>
      </c>
      <c r="V48" s="194" t="str">
        <f ca="1">Sprache!$A$74</f>
        <v>var</v>
      </c>
      <c r="W48" s="193" t="str">
        <f ca="1">Sprache!$A$74</f>
        <v>var</v>
      </c>
      <c r="X48" s="187" t="str">
        <f ca="1">Sprache!$A$70</f>
        <v>соединение с древесиной</v>
      </c>
      <c r="Y48" s="187" t="str">
        <f ca="1">Sprache!$A$136</f>
        <v>nein</v>
      </c>
      <c r="Z48" s="187" t="str">
        <f ca="1">Sprache!$A$106</f>
        <v>Korpus</v>
      </c>
      <c r="AA48" s="187">
        <v>410</v>
      </c>
      <c r="AB48" s="124">
        <v>429</v>
      </c>
      <c r="AC48" s="187"/>
      <c r="AD48" s="195">
        <v>7.5</v>
      </c>
      <c r="AE48" s="196">
        <v>14.6</v>
      </c>
      <c r="AF48" s="263" t="str">
        <f>MID(Tabelle2[[#This Row],[bnr full]],1,4)</f>
        <v>F152</v>
      </c>
      <c r="AG48" s="264" t="str">
        <f>MID(Tabelle2[[#This Row],[bnr full]],5,3)</f>
        <v>147</v>
      </c>
      <c r="AH48" s="265" t="str">
        <f>MID(Tabelle2[[#This Row],[bnr full]],8,3)</f>
        <v>835</v>
      </c>
      <c r="AI48" s="264" t="str">
        <f>MID(Tabelle2[[#This Row],[bnr full]],11,3)</f>
        <v>201</v>
      </c>
      <c r="AJ48" s="252" t="str">
        <f>MID(Tabelle2[[#This Row],[bnr full]],11,3)</f>
        <v>201</v>
      </c>
      <c r="AK48" s="197" t="s">
        <v>1651</v>
      </c>
      <c r="AL48" s="124" t="str">
        <f ca="1">Sprache!$A$111</f>
        <v>Комплект (Л + П)</v>
      </c>
      <c r="AM48" s="187" t="str">
        <f ca="1">Sprache!$A$116</f>
        <v>Направляющий рычаг, тип 4</v>
      </c>
      <c r="AN48" s="187" t="str">
        <f ca="1">Sprache!$A$122</f>
        <v>Силовой механизм C</v>
      </c>
      <c r="AO48" s="187" t="s">
        <v>25</v>
      </c>
      <c r="AP48" s="187" t="s">
        <v>25</v>
      </c>
      <c r="AQ48" s="187">
        <v>450</v>
      </c>
      <c r="AR48" s="124">
        <v>1200</v>
      </c>
      <c r="AS48" s="187"/>
      <c r="AT48" s="124"/>
      <c r="AU48"/>
      <c r="AV48"/>
      <c r="AY48"/>
      <c r="AZ48"/>
      <c r="BA48"/>
      <c r="BB48"/>
      <c r="BC48"/>
    </row>
    <row r="49" spans="1:55" ht="15.75" hidden="1" thickBot="1" x14ac:dyDescent="0.3">
      <c r="A49" s="12" t="str">
        <f ca="1">IF(F49+G49+H49+I49+J49+D49+E49=3,IF(Tabelle2[[#This Row],[Kappe Weiß]]=Limits!$R$29,1,""),"")</f>
        <v/>
      </c>
      <c r="B49" s="12" t="str">
        <f ca="1">IF(G49+H49+I49+J49+E49+F49=2,IF(Tabelle2[[#This Row],[Kappe Weiß]]=Limits!$R$29,1,""),"")</f>
        <v/>
      </c>
      <c r="C49" s="291">
        <v>1</v>
      </c>
      <c r="D49" s="171">
        <f>IF(Limits!$P$4=TRUE,1,0)</f>
        <v>0</v>
      </c>
      <c r="E49" s="172">
        <f>IF(Daten!$P49+Daten!$Q49+Daten!$S49=3,1,0)</f>
        <v>0</v>
      </c>
      <c r="F49" s="173">
        <f ca="1">IF(AND(Limits!$Q$21=TRUE,Daten!O49=1)=TRUE,1,0)</f>
        <v>0</v>
      </c>
      <c r="G49" s="174">
        <f>IF(AND(Limits!$Q$25=TRUE,Daten!N49=1)=TRUE,1,0)</f>
        <v>0</v>
      </c>
      <c r="H49" s="174">
        <f>IF(AND(Limits!$Q$24=TRUE,Daten!M49=1)=TRUE,1,0)</f>
        <v>0</v>
      </c>
      <c r="I49" s="174">
        <f>IF(AND(Limits!$Q$23=TRUE,Daten!L49=1)=TRUE,1,0)</f>
        <v>0</v>
      </c>
      <c r="J49" s="174">
        <f>IF(AND(Limits!$Q$22=TRUE,Daten!K49=1)=TRUE,1,0)</f>
        <v>0</v>
      </c>
      <c r="K49" s="188">
        <f>IF(Daten!$V49=13,1,0)</f>
        <v>1</v>
      </c>
      <c r="L49" s="189">
        <f>IF(Daten!$V49&lt;&gt;Daten!$W49,1,IF(Daten!$V49=14,1,0))</f>
        <v>1</v>
      </c>
      <c r="M49" s="189">
        <f>IF(Daten!$V49&lt;&gt;Daten!$W49,1,IF(Daten!$V49=16,1,0))</f>
        <v>1</v>
      </c>
      <c r="N49" s="189">
        <f>IF(Daten!$W49=17,1,0)</f>
        <v>1</v>
      </c>
      <c r="O49" s="190">
        <f ca="1">IF(Daten!$X49=Sprache!$A$70,1,0)</f>
        <v>0</v>
      </c>
      <c r="P49" s="191">
        <f>IF(AND(Daten!$AQ49&lt;=KINVARO!$AW$3,Daten!$AR49&gt;=KINVARO!$AW$3)=TRUE,1,0)</f>
        <v>1</v>
      </c>
      <c r="Q49" s="192">
        <f>IF(AND(Daten!$AA49&lt;=KINVARO!$AW$4,Daten!$AB49&gt;=KINVARO!$AW$4)=TRUE,1,0)</f>
        <v>0</v>
      </c>
      <c r="R49" s="192"/>
      <c r="S49" s="192">
        <f>IF(AND(Daten!$AD49&lt;=Limits!$I$70,Daten!$AE49&gt;=Limits!$I$70)=TRUE,1,0)</f>
        <v>0</v>
      </c>
      <c r="T49" s="193">
        <f ca="1">IF(Daten!$Y49=Sprache!$A$135,1,0)</f>
        <v>0</v>
      </c>
      <c r="U49" s="124" t="str">
        <f ca="1">Sprache!$A$60</f>
        <v>L-80 Вертикальный подъемник</v>
      </c>
      <c r="V49" s="194">
        <v>13</v>
      </c>
      <c r="W49" s="193">
        <v>17</v>
      </c>
      <c r="X49" s="187" t="str">
        <f ca="1">Sprache!$A$141</f>
        <v>Alu</v>
      </c>
      <c r="Y49" s="187" t="str">
        <f ca="1">Sprache!$A$136</f>
        <v>nein</v>
      </c>
      <c r="Z49" s="187" t="str">
        <f ca="1">Sprache!$A$106</f>
        <v>Korpus</v>
      </c>
      <c r="AA49" s="187">
        <v>410</v>
      </c>
      <c r="AB49" s="124">
        <v>429</v>
      </c>
      <c r="AC49" s="187"/>
      <c r="AD49" s="195">
        <v>1.9</v>
      </c>
      <c r="AE49" s="196">
        <v>5</v>
      </c>
      <c r="AF49" s="263" t="str">
        <f>MID(Tabelle2[[#This Row],[bnr full]],1,4)</f>
        <v>F152</v>
      </c>
      <c r="AG49" s="264" t="str">
        <f>MID(Tabelle2[[#This Row],[bnr full]],5,3)</f>
        <v>147</v>
      </c>
      <c r="AH49" s="265" t="str">
        <f>MID(Tabelle2[[#This Row],[bnr full]],8,3)</f>
        <v>826</v>
      </c>
      <c r="AI49" s="264" t="str">
        <f>MID(Tabelle2[[#This Row],[bnr full]],11,3)</f>
        <v>201</v>
      </c>
      <c r="AJ49" s="252" t="str">
        <f>MID(Tabelle2[[#This Row],[bnr full]],11,3)</f>
        <v>201</v>
      </c>
      <c r="AK49" s="197" t="s">
        <v>1649</v>
      </c>
      <c r="AL49" s="124" t="str">
        <f ca="1">Sprache!$A$111</f>
        <v>Комплект (Л + П)</v>
      </c>
      <c r="AM49" s="187" t="str">
        <f ca="1">Sprache!$A$116</f>
        <v>Направляющий рычаг, тип 4</v>
      </c>
      <c r="AN49" s="187" t="str">
        <f ca="1">Sprache!$A$120</f>
        <v>Силовой механизм A</v>
      </c>
      <c r="AO49" s="187" t="str">
        <f ca="1">Sprache!$A$143</f>
        <v>Адаптер под алюминиевые рамки к комплекту Kinvaro L-80</v>
      </c>
      <c r="AP49" s="187" t="s">
        <v>814</v>
      </c>
      <c r="AQ49" s="187">
        <v>450</v>
      </c>
      <c r="AR49" s="124">
        <v>1200</v>
      </c>
      <c r="AS49" s="187"/>
      <c r="AT49" s="124"/>
      <c r="AU49"/>
      <c r="AV49"/>
      <c r="AY49"/>
      <c r="AZ49"/>
      <c r="BA49"/>
      <c r="BB49"/>
      <c r="BC49"/>
    </row>
    <row r="50" spans="1:55" ht="15.75" hidden="1" thickBot="1" x14ac:dyDescent="0.3">
      <c r="A50" s="12" t="str">
        <f ca="1">IF(F50+G50+H50+I50+J50+D50+E50=3,IF(Tabelle2[[#This Row],[Kappe Weiß]]=Limits!$R$29,1,""),"")</f>
        <v/>
      </c>
      <c r="B50" s="12" t="str">
        <f ca="1">IF(G50+H50+I50+J50+E50+F50=2,IF(Tabelle2[[#This Row],[Kappe Weiß]]=Limits!$R$29,1,""),"")</f>
        <v/>
      </c>
      <c r="C50" s="291">
        <v>1</v>
      </c>
      <c r="D50" s="171">
        <f>IF(Limits!$P$4=TRUE,1,0)</f>
        <v>0</v>
      </c>
      <c r="E50" s="172">
        <f>IF(Daten!$P50+Daten!$Q50+Daten!$S50=3,1,0)</f>
        <v>0</v>
      </c>
      <c r="F50" s="173">
        <f ca="1">IF(AND(Limits!$Q$21=TRUE,Daten!O50=1)=TRUE,1,0)</f>
        <v>0</v>
      </c>
      <c r="G50" s="174">
        <f>IF(AND(Limits!$Q$25=TRUE,Daten!N50=1)=TRUE,1,0)</f>
        <v>0</v>
      </c>
      <c r="H50" s="174">
        <f>IF(AND(Limits!$Q$24=TRUE,Daten!M50=1)=TRUE,1,0)</f>
        <v>0</v>
      </c>
      <c r="I50" s="174">
        <f>IF(AND(Limits!$Q$23=TRUE,Daten!L50=1)=TRUE,1,0)</f>
        <v>0</v>
      </c>
      <c r="J50" s="174">
        <f>IF(AND(Limits!$Q$22=TRUE,Daten!K50=1)=TRUE,1,0)</f>
        <v>0</v>
      </c>
      <c r="K50" s="188">
        <f>IF(Daten!$V50=13,1,0)</f>
        <v>1</v>
      </c>
      <c r="L50" s="189">
        <f>IF(Daten!$V50&lt;&gt;Daten!$W50,1,IF(Daten!$V50=14,1,0))</f>
        <v>1</v>
      </c>
      <c r="M50" s="189">
        <f>IF(Daten!$V50&lt;&gt;Daten!$W50,1,IF(Daten!$V50=16,1,0))</f>
        <v>1</v>
      </c>
      <c r="N50" s="189">
        <f>IF(Daten!$W50=17,1,0)</f>
        <v>1</v>
      </c>
      <c r="O50" s="190">
        <f ca="1">IF(Daten!$X50=Sprache!$A$70,1,0)</f>
        <v>0</v>
      </c>
      <c r="P50" s="191">
        <f>IF(AND(Daten!$AQ50&lt;=KINVARO!$AW$3,Daten!$AR50&gt;=KINVARO!$AW$3)=TRUE,1,0)</f>
        <v>1</v>
      </c>
      <c r="Q50" s="192">
        <f>IF(AND(Daten!$AA50&lt;=KINVARO!$AW$4,Daten!$AB50&gt;=KINVARO!$AW$4)=TRUE,1,0)</f>
        <v>0</v>
      </c>
      <c r="R50" s="192"/>
      <c r="S50" s="192">
        <f>IF(AND(Daten!$AD50&lt;=Limits!$I$70,Daten!$AE50&gt;=Limits!$I$70)=TRUE,1,0)</f>
        <v>0</v>
      </c>
      <c r="T50" s="193">
        <f ca="1">IF(Daten!$Y50=Sprache!$A$135,1,0)</f>
        <v>0</v>
      </c>
      <c r="U50" s="124" t="str">
        <f ca="1">Sprache!$A$60</f>
        <v>L-80 Вертикальный подъемник</v>
      </c>
      <c r="V50" s="194">
        <v>13</v>
      </c>
      <c r="W50" s="193">
        <v>17</v>
      </c>
      <c r="X50" s="187" t="str">
        <f ca="1">Sprache!$A$141</f>
        <v>Alu</v>
      </c>
      <c r="Y50" s="187" t="str">
        <f ca="1">Sprache!$A$136</f>
        <v>nein</v>
      </c>
      <c r="Z50" s="187" t="str">
        <f ca="1">Sprache!$A$106</f>
        <v>Korpus</v>
      </c>
      <c r="AA50" s="187">
        <v>410</v>
      </c>
      <c r="AB50" s="124">
        <v>429</v>
      </c>
      <c r="AC50" s="187"/>
      <c r="AD50" s="195">
        <v>4.5</v>
      </c>
      <c r="AE50" s="196">
        <v>8</v>
      </c>
      <c r="AF50" s="263" t="str">
        <f>MID(Tabelle2[[#This Row],[bnr full]],1,4)</f>
        <v>F152</v>
      </c>
      <c r="AG50" s="264" t="str">
        <f>MID(Tabelle2[[#This Row],[bnr full]],5,3)</f>
        <v>147</v>
      </c>
      <c r="AH50" s="265" t="str">
        <f>MID(Tabelle2[[#This Row],[bnr full]],8,3)</f>
        <v>831</v>
      </c>
      <c r="AI50" s="264" t="str">
        <f>MID(Tabelle2[[#This Row],[bnr full]],11,3)</f>
        <v>201</v>
      </c>
      <c r="AJ50" s="252" t="str">
        <f>MID(Tabelle2[[#This Row],[bnr full]],11,3)</f>
        <v>201</v>
      </c>
      <c r="AK50" s="197" t="s">
        <v>1650</v>
      </c>
      <c r="AL50" s="124" t="str">
        <f ca="1">Sprache!$A$111</f>
        <v>Комплект (Л + П)</v>
      </c>
      <c r="AM50" s="187" t="str">
        <f ca="1">Sprache!$A$116</f>
        <v>Направляющий рычаг, тип 4</v>
      </c>
      <c r="AN50" s="187" t="str">
        <f ca="1">Sprache!$A$121</f>
        <v>Силовой механизм B</v>
      </c>
      <c r="AO50" s="187" t="str">
        <f ca="1">Sprache!$A$143</f>
        <v>Адаптер под алюминиевые рамки к комплекту Kinvaro L-80</v>
      </c>
      <c r="AP50" s="187" t="s">
        <v>814</v>
      </c>
      <c r="AQ50" s="187">
        <v>450</v>
      </c>
      <c r="AR50" s="124">
        <v>1200</v>
      </c>
      <c r="AS50" s="187"/>
      <c r="AT50" s="124"/>
      <c r="AU50"/>
      <c r="AV50"/>
      <c r="AY50"/>
      <c r="AZ50"/>
      <c r="BA50"/>
      <c r="BB50"/>
      <c r="BC50"/>
    </row>
    <row r="51" spans="1:55" s="8" customFormat="1" ht="15.75" hidden="1" thickBot="1" x14ac:dyDescent="0.3">
      <c r="A51" s="12" t="str">
        <f ca="1">IF(F51+G51+H51+I51+J51+D51+E51=3,IF(Tabelle2[[#This Row],[Kappe Weiß]]=Limits!$R$29,1,""),"")</f>
        <v/>
      </c>
      <c r="B51" s="12" t="str">
        <f ca="1">IF(G51+H51+I51+J51+E51+F51=2,IF(Tabelle2[[#This Row],[Kappe Weiß]]=Limits!$R$29,1,""),"")</f>
        <v/>
      </c>
      <c r="C51" s="291">
        <v>1</v>
      </c>
      <c r="D51" s="171">
        <f>IF(Limits!$P$4=TRUE,1,0)</f>
        <v>0</v>
      </c>
      <c r="E51" s="172">
        <f>IF(Daten!$P51+Daten!$Q51+Daten!$S51=3,1,0)</f>
        <v>0</v>
      </c>
      <c r="F51" s="173">
        <f ca="1">IF(AND(Limits!$Q$21=TRUE,Daten!O51=1)=TRUE,1,0)</f>
        <v>0</v>
      </c>
      <c r="G51" s="174">
        <f>IF(AND(Limits!$Q$25=TRUE,Daten!N51=1)=TRUE,1,0)</f>
        <v>0</v>
      </c>
      <c r="H51" s="174">
        <f>IF(AND(Limits!$Q$24=TRUE,Daten!M51=1)=TRUE,1,0)</f>
        <v>0</v>
      </c>
      <c r="I51" s="174">
        <f>IF(AND(Limits!$Q$23=TRUE,Daten!L51=1)=TRUE,1,0)</f>
        <v>0</v>
      </c>
      <c r="J51" s="174">
        <f>IF(AND(Limits!$Q$22=TRUE,Daten!K51=1)=TRUE,1,0)</f>
        <v>0</v>
      </c>
      <c r="K51" s="188">
        <f>IF(Daten!$V51=13,1,0)</f>
        <v>1</v>
      </c>
      <c r="L51" s="189">
        <f>IF(Daten!$V51&lt;&gt;Daten!$W51,1,IF(Daten!$V51=14,1,0))</f>
        <v>1</v>
      </c>
      <c r="M51" s="189">
        <f>IF(Daten!$V51&lt;&gt;Daten!$W51,1,IF(Daten!$V51=16,1,0))</f>
        <v>1</v>
      </c>
      <c r="N51" s="189">
        <f>IF(Daten!$W51=17,1,0)</f>
        <v>1</v>
      </c>
      <c r="O51" s="190">
        <f ca="1">IF(Daten!$X51=Sprache!$A$70,1,0)</f>
        <v>0</v>
      </c>
      <c r="P51" s="191">
        <f>IF(AND(Daten!$AQ51&lt;=KINVARO!$AW$3,Daten!$AR51&gt;=KINVARO!$AW$3)=TRUE,1,0)</f>
        <v>1</v>
      </c>
      <c r="Q51" s="192">
        <f>IF(AND(Daten!$AA51&lt;=KINVARO!$AW$4,Daten!$AB51&gt;=KINVARO!$AW$4)=TRUE,1,0)</f>
        <v>0</v>
      </c>
      <c r="R51" s="192"/>
      <c r="S51" s="192">
        <f>IF(AND(Daten!$AD51&lt;=Limits!$I$70,Daten!$AE51&gt;=Limits!$I$70)=TRUE,1,0)</f>
        <v>1</v>
      </c>
      <c r="T51" s="193">
        <f ca="1">IF(Daten!$Y51=Sprache!$A$135,1,0)</f>
        <v>0</v>
      </c>
      <c r="U51" s="124" t="str">
        <f ca="1">Sprache!$A$60</f>
        <v>L-80 Вертикальный подъемник</v>
      </c>
      <c r="V51" s="194">
        <v>13</v>
      </c>
      <c r="W51" s="193">
        <v>17</v>
      </c>
      <c r="X51" s="187" t="str">
        <f ca="1">Sprache!$A$141</f>
        <v>Alu</v>
      </c>
      <c r="Y51" s="187" t="str">
        <f ca="1">Sprache!$A$136</f>
        <v>nein</v>
      </c>
      <c r="Z51" s="187" t="str">
        <f ca="1">Sprache!$A$106</f>
        <v>Korpus</v>
      </c>
      <c r="AA51" s="187">
        <v>410</v>
      </c>
      <c r="AB51" s="124">
        <v>429</v>
      </c>
      <c r="AC51" s="187"/>
      <c r="AD51" s="195">
        <v>7.5</v>
      </c>
      <c r="AE51" s="196">
        <v>14.6</v>
      </c>
      <c r="AF51" s="263" t="str">
        <f>MID(Tabelle2[[#This Row],[bnr full]],1,4)</f>
        <v>F152</v>
      </c>
      <c r="AG51" s="264" t="str">
        <f>MID(Tabelle2[[#This Row],[bnr full]],5,3)</f>
        <v>147</v>
      </c>
      <c r="AH51" s="265" t="str">
        <f>MID(Tabelle2[[#This Row],[bnr full]],8,3)</f>
        <v>835</v>
      </c>
      <c r="AI51" s="264" t="str">
        <f>MID(Tabelle2[[#This Row],[bnr full]],11,3)</f>
        <v>201</v>
      </c>
      <c r="AJ51" s="252" t="str">
        <f>MID(Tabelle2[[#This Row],[bnr full]],11,3)</f>
        <v>201</v>
      </c>
      <c r="AK51" s="197" t="s">
        <v>1651</v>
      </c>
      <c r="AL51" s="124" t="str">
        <f ca="1">Sprache!$A$111</f>
        <v>Комплект (Л + П)</v>
      </c>
      <c r="AM51" s="187" t="str">
        <f ca="1">Sprache!$A$116</f>
        <v>Направляющий рычаг, тип 4</v>
      </c>
      <c r="AN51" s="187" t="str">
        <f ca="1">Sprache!$A$122</f>
        <v>Силовой механизм C</v>
      </c>
      <c r="AO51" s="187" t="str">
        <f ca="1">Sprache!$A$143</f>
        <v>Адаптер под алюминиевые рамки к комплекту Kinvaro L-80</v>
      </c>
      <c r="AP51" s="187" t="s">
        <v>814</v>
      </c>
      <c r="AQ51" s="187">
        <v>450</v>
      </c>
      <c r="AR51" s="124">
        <v>1200</v>
      </c>
      <c r="AS51" s="187"/>
      <c r="AT51" s="124"/>
    </row>
    <row r="52" spans="1:55" ht="15.75" hidden="1" thickBot="1" x14ac:dyDescent="0.3">
      <c r="A52" s="12" t="str">
        <f ca="1">IF(F52+G52+H52+I52+J52+D52+E52=3,IF(Tabelle2[[#This Row],[Kappe Weiß]]=Limits!$R$29,1,""),"")</f>
        <v/>
      </c>
      <c r="B52" s="12" t="str">
        <f ca="1">IF(G52+H52+I52+J52+E52+F52=2,IF(Tabelle2[[#This Row],[Kappe Weiß]]=Limits!$R$29,1,""),"")</f>
        <v/>
      </c>
      <c r="C52" s="292">
        <v>1</v>
      </c>
      <c r="D52" s="171">
        <f>IF(Limits!$P$4=TRUE,1,0)</f>
        <v>0</v>
      </c>
      <c r="E52" s="172">
        <f>IF(Daten!$P52+Daten!$Q52+Daten!$S52=3,1,0)</f>
        <v>0</v>
      </c>
      <c r="F52" s="173">
        <f ca="1">IF(AND(Limits!$Q$21=TRUE,Daten!O52=1)=TRUE,1,0)</f>
        <v>1</v>
      </c>
      <c r="G52" s="174">
        <f ca="1">IF(AND(Limits!$Q$25=TRUE,Daten!N52=1)=TRUE,1,0)</f>
        <v>0</v>
      </c>
      <c r="H52" s="174">
        <f ca="1">IF(AND(Limits!$Q$24=TRUE,Daten!M52=1)=TRUE,1,0)</f>
        <v>0</v>
      </c>
      <c r="I52" s="174">
        <f ca="1">IF(AND(Limits!$Q$23=TRUE,Daten!L52=1)=TRUE,1,0)</f>
        <v>0</v>
      </c>
      <c r="J52" s="174">
        <f ca="1">IF(AND(Limits!$Q$22=TRUE,Daten!K52=1)=TRUE,1,0)</f>
        <v>0</v>
      </c>
      <c r="K52" s="188">
        <f ca="1">IF(Daten!$V52=13,1,0)</f>
        <v>0</v>
      </c>
      <c r="L52" s="189">
        <f ca="1">IF(Daten!$V52&lt;&gt;Daten!$W52,1,IF(Daten!$V52=14,1,0))</f>
        <v>0</v>
      </c>
      <c r="M52" s="189">
        <f ca="1">IF(Daten!$V52&lt;&gt;Daten!$W52,1,IF(Daten!$V52=16,1,0))</f>
        <v>0</v>
      </c>
      <c r="N52" s="189">
        <f ca="1">IF(Daten!$W52=17,1,0)</f>
        <v>0</v>
      </c>
      <c r="O52" s="190">
        <f ca="1">IF(Daten!$X52=Sprache!$A$70,1,0)</f>
        <v>1</v>
      </c>
      <c r="P52" s="198">
        <f>IF(AND(Daten!$AQ52&lt;=KINVARO!$AW$3,Daten!$AR52&gt;=KINVARO!$AW$3)=TRUE,1,0)</f>
        <v>1</v>
      </c>
      <c r="Q52" s="199">
        <f>IF(AND(Daten!$AA52&lt;=KINVARO!$AW$4,Daten!$AB52&gt;=KINVARO!$AW$4)=TRUE,1,0)</f>
        <v>0</v>
      </c>
      <c r="R52" s="199"/>
      <c r="S52" s="199">
        <f>IF(AND(Daten!$AD52&lt;=Limits!$I$70,Daten!$AE52&gt;=Limits!$I$70)=TRUE,1,0)</f>
        <v>0</v>
      </c>
      <c r="T52" s="200">
        <f ca="1">IF(Daten!$Y52=Sprache!$A$135,1,0)</f>
        <v>0</v>
      </c>
      <c r="U52" s="201" t="str">
        <f ca="1">Sprache!$A$60</f>
        <v>L-80 Вертикальный подъемник</v>
      </c>
      <c r="V52" s="202" t="str">
        <f ca="1">Sprache!$A$74</f>
        <v>var</v>
      </c>
      <c r="W52" s="200" t="str">
        <f ca="1">Sprache!$A$74</f>
        <v>var</v>
      </c>
      <c r="X52" s="203" t="str">
        <f ca="1">Sprache!$A$70</f>
        <v>соединение с древесиной</v>
      </c>
      <c r="Y52" s="187" t="str">
        <f ca="1">Sprache!$A$136</f>
        <v>nein</v>
      </c>
      <c r="Z52" s="203" t="str">
        <f ca="1">Sprache!$A$106</f>
        <v>Korpus</v>
      </c>
      <c r="AA52" s="203">
        <v>430</v>
      </c>
      <c r="AB52" s="201">
        <v>600</v>
      </c>
      <c r="AC52" s="203"/>
      <c r="AD52" s="204">
        <v>2</v>
      </c>
      <c r="AE52" s="205">
        <v>4.5</v>
      </c>
      <c r="AF52" s="266" t="str">
        <f>MID(Tabelle2[[#This Row],[bnr full]],1,4)</f>
        <v>F152</v>
      </c>
      <c r="AG52" s="267" t="str">
        <f>MID(Tabelle2[[#This Row],[bnr full]],5,3)</f>
        <v>147</v>
      </c>
      <c r="AH52" s="268" t="str">
        <f>MID(Tabelle2[[#This Row],[bnr full]],8,3)</f>
        <v>827</v>
      </c>
      <c r="AI52" s="267" t="str">
        <f>MID(Tabelle2[[#This Row],[bnr full]],11,3)</f>
        <v>201</v>
      </c>
      <c r="AJ52" s="253" t="str">
        <f>MID(Tabelle2[[#This Row],[bnr full]],11,3)</f>
        <v>201</v>
      </c>
      <c r="AK52" s="206" t="s">
        <v>1652</v>
      </c>
      <c r="AL52" s="201" t="str">
        <f ca="1">Sprache!$A$111</f>
        <v>Комплект (Л + П)</v>
      </c>
      <c r="AM52" s="203" t="str">
        <f ca="1">Sprache!$A$117</f>
        <v>Направляющий рычаг, тип 5</v>
      </c>
      <c r="AN52" s="203" t="str">
        <f ca="1">Sprache!$A$120</f>
        <v>Силовой механизм A</v>
      </c>
      <c r="AO52" s="203" t="s">
        <v>25</v>
      </c>
      <c r="AP52" s="203" t="s">
        <v>25</v>
      </c>
      <c r="AQ52" s="203">
        <v>450</v>
      </c>
      <c r="AR52" s="201">
        <v>1200</v>
      </c>
      <c r="AS52" s="187"/>
      <c r="AT52" s="124"/>
      <c r="AU52"/>
      <c r="AV52"/>
      <c r="AY52"/>
      <c r="AZ52"/>
      <c r="BA52"/>
      <c r="BB52"/>
      <c r="BC52"/>
    </row>
    <row r="53" spans="1:55" ht="15.75" hidden="1" thickBot="1" x14ac:dyDescent="0.3">
      <c r="A53" s="12" t="str">
        <f ca="1">IF(F53+G53+H53+I53+J53+D53+E53=3,IF(Tabelle2[[#This Row],[Kappe Weiß]]=Limits!$R$29,1,""),"")</f>
        <v/>
      </c>
      <c r="B53" s="12" t="str">
        <f ca="1">IF(G53+H53+I53+J53+E53+F53=2,IF(Tabelle2[[#This Row],[Kappe Weiß]]=Limits!$R$29,1,""),"")</f>
        <v/>
      </c>
      <c r="C53" s="291">
        <v>1</v>
      </c>
      <c r="D53" s="171">
        <f>IF(Limits!$P$4=TRUE,1,0)</f>
        <v>0</v>
      </c>
      <c r="E53" s="172">
        <f>IF(Daten!$P53+Daten!$Q53+Daten!$S53=3,1,0)</f>
        <v>0</v>
      </c>
      <c r="F53" s="173">
        <f ca="1">IF(AND(Limits!$Q$21=TRUE,Daten!O53=1)=TRUE,1,0)</f>
        <v>1</v>
      </c>
      <c r="G53" s="174">
        <f ca="1">IF(AND(Limits!$Q$25=TRUE,Daten!N53=1)=TRUE,1,0)</f>
        <v>0</v>
      </c>
      <c r="H53" s="174">
        <f ca="1">IF(AND(Limits!$Q$24=TRUE,Daten!M53=1)=TRUE,1,0)</f>
        <v>0</v>
      </c>
      <c r="I53" s="174">
        <f ca="1">IF(AND(Limits!$Q$23=TRUE,Daten!L53=1)=TRUE,1,0)</f>
        <v>0</v>
      </c>
      <c r="J53" s="174">
        <f ca="1">IF(AND(Limits!$Q$22=TRUE,Daten!K53=1)=TRUE,1,0)</f>
        <v>0</v>
      </c>
      <c r="K53" s="188">
        <f ca="1">IF(Daten!$V53=13,1,0)</f>
        <v>0</v>
      </c>
      <c r="L53" s="189">
        <f ca="1">IF(Daten!$V53&lt;&gt;Daten!$W53,1,IF(Daten!$V53=14,1,0))</f>
        <v>0</v>
      </c>
      <c r="M53" s="189">
        <f ca="1">IF(Daten!$V53&lt;&gt;Daten!$W53,1,IF(Daten!$V53=16,1,0))</f>
        <v>0</v>
      </c>
      <c r="N53" s="189">
        <f ca="1">IF(Daten!$W53=17,1,0)</f>
        <v>0</v>
      </c>
      <c r="O53" s="190">
        <f ca="1">IF(Daten!$X53=Sprache!$A$70,1,0)</f>
        <v>1</v>
      </c>
      <c r="P53" s="191">
        <f>IF(AND(Daten!$AQ53&lt;=KINVARO!$AW$3,Daten!$AR53&gt;=KINVARO!$AW$3)=TRUE,1,0)</f>
        <v>1</v>
      </c>
      <c r="Q53" s="192">
        <f>IF(AND(Daten!$AA53&lt;=KINVARO!$AW$4,Daten!$AB53&gt;=KINVARO!$AW$4)=TRUE,1,0)</f>
        <v>0</v>
      </c>
      <c r="R53" s="192"/>
      <c r="S53" s="192">
        <f>IF(AND(Daten!$AD53&lt;=Limits!$I$70,Daten!$AE53&gt;=Limits!$I$70)=TRUE,1,0)</f>
        <v>0</v>
      </c>
      <c r="T53" s="193">
        <f ca="1">IF(Daten!$Y53=Sprache!$A$135,1,0)</f>
        <v>0</v>
      </c>
      <c r="U53" s="124" t="str">
        <f ca="1">Sprache!$A$60</f>
        <v>L-80 Вертикальный подъемник</v>
      </c>
      <c r="V53" s="194" t="str">
        <f ca="1">Sprache!$A$74</f>
        <v>var</v>
      </c>
      <c r="W53" s="193" t="str">
        <f ca="1">Sprache!$A$74</f>
        <v>var</v>
      </c>
      <c r="X53" s="187" t="str">
        <f ca="1">Sprache!$A$70</f>
        <v>соединение с древесиной</v>
      </c>
      <c r="Y53" s="187" t="str">
        <f ca="1">Sprache!$A$136</f>
        <v>nein</v>
      </c>
      <c r="Z53" s="187" t="str">
        <f ca="1">Sprache!$A$106</f>
        <v>Korpus</v>
      </c>
      <c r="AA53" s="187">
        <v>430</v>
      </c>
      <c r="AB53" s="124">
        <v>600</v>
      </c>
      <c r="AC53" s="187"/>
      <c r="AD53" s="195">
        <v>4</v>
      </c>
      <c r="AE53" s="196">
        <v>7.5</v>
      </c>
      <c r="AF53" s="263" t="str">
        <f>MID(Tabelle2[[#This Row],[bnr full]],1,4)</f>
        <v>F152</v>
      </c>
      <c r="AG53" s="264" t="str">
        <f>MID(Tabelle2[[#This Row],[bnr full]],5,3)</f>
        <v>147</v>
      </c>
      <c r="AH53" s="265" t="str">
        <f>MID(Tabelle2[[#This Row],[bnr full]],8,3)</f>
        <v>715</v>
      </c>
      <c r="AI53" s="264" t="str">
        <f>MID(Tabelle2[[#This Row],[bnr full]],11,3)</f>
        <v>201</v>
      </c>
      <c r="AJ53" s="252" t="str">
        <f>MID(Tabelle2[[#This Row],[bnr full]],11,3)</f>
        <v>201</v>
      </c>
      <c r="AK53" s="197" t="s">
        <v>1653</v>
      </c>
      <c r="AL53" s="124" t="str">
        <f ca="1">Sprache!$A$111</f>
        <v>Комплект (Л + П)</v>
      </c>
      <c r="AM53" s="187" t="str">
        <f ca="1">Sprache!$A$117</f>
        <v>Направляющий рычаг, тип 5</v>
      </c>
      <c r="AN53" s="187" t="str">
        <f ca="1">Sprache!$A$121</f>
        <v>Силовой механизм B</v>
      </c>
      <c r="AO53" s="187" t="s">
        <v>25</v>
      </c>
      <c r="AP53" s="187" t="s">
        <v>25</v>
      </c>
      <c r="AQ53" s="187">
        <v>450</v>
      </c>
      <c r="AR53" s="124">
        <v>1200</v>
      </c>
      <c r="AS53" s="187"/>
      <c r="AT53" s="124"/>
      <c r="AU53"/>
      <c r="AV53"/>
      <c r="AY53"/>
      <c r="AZ53"/>
      <c r="BA53"/>
      <c r="BB53"/>
      <c r="BC53"/>
    </row>
    <row r="54" spans="1:55" ht="15.75" hidden="1" thickBot="1" x14ac:dyDescent="0.3">
      <c r="A54" s="12" t="str">
        <f ca="1">IF(F54+G54+H54+I54+J54+D54+E54=3,IF(Tabelle2[[#This Row],[Kappe Weiß]]=Limits!$R$29,1,""),"")</f>
        <v/>
      </c>
      <c r="B54" s="12" t="str">
        <f ca="1">IF(G54+H54+I54+J54+E54+F54=2,IF(Tabelle2[[#This Row],[Kappe Weiß]]=Limits!$R$29,1,""),"")</f>
        <v/>
      </c>
      <c r="C54" s="291">
        <v>1</v>
      </c>
      <c r="D54" s="171">
        <f>IF(Limits!$P$4=TRUE,1,0)</f>
        <v>0</v>
      </c>
      <c r="E54" s="172">
        <f>IF(Daten!$P54+Daten!$Q54+Daten!$S54=3,1,0)</f>
        <v>0</v>
      </c>
      <c r="F54" s="173">
        <f ca="1">IF(AND(Limits!$Q$21=TRUE,Daten!O54=1)=TRUE,1,0)</f>
        <v>1</v>
      </c>
      <c r="G54" s="174">
        <f ca="1">IF(AND(Limits!$Q$25=TRUE,Daten!N54=1)=TRUE,1,0)</f>
        <v>0</v>
      </c>
      <c r="H54" s="174">
        <f ca="1">IF(AND(Limits!$Q$24=TRUE,Daten!M54=1)=TRUE,1,0)</f>
        <v>0</v>
      </c>
      <c r="I54" s="174">
        <f ca="1">IF(AND(Limits!$Q$23=TRUE,Daten!L54=1)=TRUE,1,0)</f>
        <v>0</v>
      </c>
      <c r="J54" s="174">
        <f ca="1">IF(AND(Limits!$Q$22=TRUE,Daten!K54=1)=TRUE,1,0)</f>
        <v>0</v>
      </c>
      <c r="K54" s="188">
        <f ca="1">IF(Daten!$V54=13,1,0)</f>
        <v>0</v>
      </c>
      <c r="L54" s="189">
        <f ca="1">IF(Daten!$V54&lt;&gt;Daten!$W54,1,IF(Daten!$V54=14,1,0))</f>
        <v>0</v>
      </c>
      <c r="M54" s="189">
        <f ca="1">IF(Daten!$V54&lt;&gt;Daten!$W54,1,IF(Daten!$V54=16,1,0))</f>
        <v>0</v>
      </c>
      <c r="N54" s="189">
        <f ca="1">IF(Daten!$W54=17,1,0)</f>
        <v>0</v>
      </c>
      <c r="O54" s="190">
        <f ca="1">IF(Daten!$X54=Sprache!$A$70,1,0)</f>
        <v>1</v>
      </c>
      <c r="P54" s="191">
        <f>IF(AND(Daten!$AQ54&lt;=KINVARO!$AW$3,Daten!$AR54&gt;=KINVARO!$AW$3)=TRUE,1,0)</f>
        <v>1</v>
      </c>
      <c r="Q54" s="192">
        <f>IF(AND(Daten!$AA54&lt;=KINVARO!$AW$4,Daten!$AB54&gt;=KINVARO!$AW$4)=TRUE,1,0)</f>
        <v>0</v>
      </c>
      <c r="R54" s="192"/>
      <c r="S54" s="192">
        <f>IF(AND(Daten!$AD54&lt;=Limits!$I$70,Daten!$AE54&gt;=Limits!$I$70)=TRUE,1,0)</f>
        <v>1</v>
      </c>
      <c r="T54" s="193">
        <f ca="1">IF(Daten!$Y54=Sprache!$A$135,1,0)</f>
        <v>0</v>
      </c>
      <c r="U54" s="124" t="str">
        <f ca="1">Sprache!$A$60</f>
        <v>L-80 Вертикальный подъемник</v>
      </c>
      <c r="V54" s="194" t="str">
        <f ca="1">Sprache!$A$74</f>
        <v>var</v>
      </c>
      <c r="W54" s="193" t="str">
        <f ca="1">Sprache!$A$74</f>
        <v>var</v>
      </c>
      <c r="X54" s="187" t="str">
        <f ca="1">Sprache!$A$70</f>
        <v>соединение с древесиной</v>
      </c>
      <c r="Y54" s="187" t="str">
        <f ca="1">Sprache!$A$136</f>
        <v>nein</v>
      </c>
      <c r="Z54" s="187" t="str">
        <f ca="1">Sprache!$A$106</f>
        <v>Korpus</v>
      </c>
      <c r="AA54" s="187">
        <v>430</v>
      </c>
      <c r="AB54" s="124">
        <v>600</v>
      </c>
      <c r="AC54" s="187"/>
      <c r="AD54" s="195">
        <v>7</v>
      </c>
      <c r="AE54" s="196">
        <v>14.6</v>
      </c>
      <c r="AF54" s="263" t="str">
        <f>MID(Tabelle2[[#This Row],[bnr full]],1,4)</f>
        <v>F152</v>
      </c>
      <c r="AG54" s="264" t="str">
        <f>MID(Tabelle2[[#This Row],[bnr full]],5,3)</f>
        <v>147</v>
      </c>
      <c r="AH54" s="265" t="str">
        <f>MID(Tabelle2[[#This Row],[bnr full]],8,3)</f>
        <v>836</v>
      </c>
      <c r="AI54" s="264" t="str">
        <f>MID(Tabelle2[[#This Row],[bnr full]],11,3)</f>
        <v>201</v>
      </c>
      <c r="AJ54" s="252" t="str">
        <f>MID(Tabelle2[[#This Row],[bnr full]],11,3)</f>
        <v>201</v>
      </c>
      <c r="AK54" s="197" t="s">
        <v>1654</v>
      </c>
      <c r="AL54" s="124" t="str">
        <f ca="1">Sprache!$A$111</f>
        <v>Комплект (Л + П)</v>
      </c>
      <c r="AM54" s="187" t="str">
        <f ca="1">Sprache!$A$117</f>
        <v>Направляющий рычаг, тип 5</v>
      </c>
      <c r="AN54" s="187" t="str">
        <f ca="1">Sprache!$A$122</f>
        <v>Силовой механизм C</v>
      </c>
      <c r="AO54" s="187" t="s">
        <v>25</v>
      </c>
      <c r="AP54" s="187" t="s">
        <v>25</v>
      </c>
      <c r="AQ54" s="187">
        <v>450</v>
      </c>
      <c r="AR54" s="124">
        <v>1200</v>
      </c>
      <c r="AS54" s="187"/>
      <c r="AT54" s="124"/>
      <c r="AU54"/>
      <c r="AV54"/>
      <c r="AY54"/>
      <c r="AZ54"/>
      <c r="BA54"/>
      <c r="BB54"/>
      <c r="BC54"/>
    </row>
    <row r="55" spans="1:55" ht="15.75" hidden="1" thickBot="1" x14ac:dyDescent="0.3">
      <c r="A55" s="12" t="str">
        <f ca="1">IF(F55+G55+H55+I55+J55+D55+E55=3,IF(Tabelle2[[#This Row],[Kappe Weiß]]=Limits!$R$29,1,""),"")</f>
        <v/>
      </c>
      <c r="B55" s="12" t="str">
        <f ca="1">IF(G55+H55+I55+J55+E55+F55=2,IF(Tabelle2[[#This Row],[Kappe Weiß]]=Limits!$R$29,1,""),"")</f>
        <v/>
      </c>
      <c r="C55" s="291">
        <v>1</v>
      </c>
      <c r="D55" s="171">
        <f>IF(Limits!$P$4=TRUE,1,0)</f>
        <v>0</v>
      </c>
      <c r="E55" s="172">
        <f>IF(Daten!$P55+Daten!$Q55+Daten!$S55=3,1,0)</f>
        <v>0</v>
      </c>
      <c r="F55" s="173">
        <f ca="1">IF(AND(Limits!$Q$21=TRUE,Daten!O55=1)=TRUE,1,0)</f>
        <v>0</v>
      </c>
      <c r="G55" s="174">
        <f>IF(AND(Limits!$Q$25=TRUE,Daten!N55=1)=TRUE,1,0)</f>
        <v>0</v>
      </c>
      <c r="H55" s="174">
        <f>IF(AND(Limits!$Q$24=TRUE,Daten!M55=1)=TRUE,1,0)</f>
        <v>0</v>
      </c>
      <c r="I55" s="174">
        <f>IF(AND(Limits!$Q$23=TRUE,Daten!L55=1)=TRUE,1,0)</f>
        <v>0</v>
      </c>
      <c r="J55" s="174">
        <f>IF(AND(Limits!$Q$22=TRUE,Daten!K55=1)=TRUE,1,0)</f>
        <v>0</v>
      </c>
      <c r="K55" s="188">
        <f>IF(Daten!$V55=13,1,0)</f>
        <v>1</v>
      </c>
      <c r="L55" s="189">
        <f>IF(Daten!$V55&lt;&gt;Daten!$W55,1,IF(Daten!$V55=14,1,0))</f>
        <v>1</v>
      </c>
      <c r="M55" s="189">
        <f>IF(Daten!$V55&lt;&gt;Daten!$W55,1,IF(Daten!$V55=16,1,0))</f>
        <v>1</v>
      </c>
      <c r="N55" s="189">
        <f>IF(Daten!$W55=17,1,0)</f>
        <v>1</v>
      </c>
      <c r="O55" s="190">
        <f ca="1">IF(Daten!$X55=Sprache!$A$70,1,0)</f>
        <v>0</v>
      </c>
      <c r="P55" s="191">
        <f>IF(AND(Daten!$AQ55&lt;=KINVARO!$AW$3,Daten!$AR55&gt;=KINVARO!$AW$3)=TRUE,1,0)</f>
        <v>1</v>
      </c>
      <c r="Q55" s="192">
        <f>IF(AND(Daten!$AA55&lt;=KINVARO!$AW$4,Daten!$AB55&gt;=KINVARO!$AW$4)=TRUE,1,0)</f>
        <v>0</v>
      </c>
      <c r="R55" s="192"/>
      <c r="S55" s="192">
        <f>IF(AND(Daten!$AD55&lt;=Limits!$I$70,Daten!$AE55&gt;=Limits!$I$70)=TRUE,1,0)</f>
        <v>0</v>
      </c>
      <c r="T55" s="193">
        <f ca="1">IF(Daten!$Y55=Sprache!$A$135,1,0)</f>
        <v>0</v>
      </c>
      <c r="U55" s="124" t="str">
        <f ca="1">Sprache!$A$60</f>
        <v>L-80 Вертикальный подъемник</v>
      </c>
      <c r="V55" s="194">
        <v>13</v>
      </c>
      <c r="W55" s="193">
        <v>17</v>
      </c>
      <c r="X55" s="187" t="str">
        <f ca="1">Sprache!$A$141</f>
        <v>Alu</v>
      </c>
      <c r="Y55" s="187" t="str">
        <f ca="1">Sprache!$A$136</f>
        <v>nein</v>
      </c>
      <c r="Z55" s="187" t="str">
        <f ca="1">Sprache!$A$106</f>
        <v>Korpus</v>
      </c>
      <c r="AA55" s="187">
        <v>430</v>
      </c>
      <c r="AB55" s="124">
        <v>600</v>
      </c>
      <c r="AC55" s="187"/>
      <c r="AD55" s="195">
        <v>2</v>
      </c>
      <c r="AE55" s="196">
        <v>4.5</v>
      </c>
      <c r="AF55" s="263" t="str">
        <f>MID(Tabelle2[[#This Row],[bnr full]],1,4)</f>
        <v>F152</v>
      </c>
      <c r="AG55" s="264" t="str">
        <f>MID(Tabelle2[[#This Row],[bnr full]],5,3)</f>
        <v>147</v>
      </c>
      <c r="AH55" s="265" t="str">
        <f>MID(Tabelle2[[#This Row],[bnr full]],8,3)</f>
        <v>827</v>
      </c>
      <c r="AI55" s="264" t="str">
        <f>MID(Tabelle2[[#This Row],[bnr full]],11,3)</f>
        <v>201</v>
      </c>
      <c r="AJ55" s="252" t="str">
        <f>MID(Tabelle2[[#This Row],[bnr full]],11,3)</f>
        <v>201</v>
      </c>
      <c r="AK55" s="197" t="s">
        <v>1652</v>
      </c>
      <c r="AL55" s="124" t="str">
        <f ca="1">Sprache!$A$111</f>
        <v>Комплект (Л + П)</v>
      </c>
      <c r="AM55" s="187" t="str">
        <f ca="1">Sprache!$A$117</f>
        <v>Направляющий рычаг, тип 5</v>
      </c>
      <c r="AN55" s="187" t="str">
        <f ca="1">Sprache!$A$120</f>
        <v>Силовой механизм A</v>
      </c>
      <c r="AO55" s="187" t="str">
        <f ca="1">Sprache!$A$143</f>
        <v>Адаптер под алюминиевые рамки к комплекту Kinvaro L-80</v>
      </c>
      <c r="AP55" s="187" t="s">
        <v>814</v>
      </c>
      <c r="AQ55" s="187">
        <v>450</v>
      </c>
      <c r="AR55" s="124">
        <v>1200</v>
      </c>
      <c r="AS55" s="187"/>
      <c r="AT55" s="124"/>
      <c r="AU55"/>
      <c r="AV55"/>
      <c r="AY55"/>
      <c r="AZ55"/>
      <c r="BA55"/>
      <c r="BB55"/>
      <c r="BC55"/>
    </row>
    <row r="56" spans="1:55" ht="15.75" hidden="1" thickBot="1" x14ac:dyDescent="0.3">
      <c r="A56" s="12" t="str">
        <f ca="1">IF(F56+G56+H56+I56+J56+D56+E56=3,IF(Tabelle2[[#This Row],[Kappe Weiß]]=Limits!$R$29,1,""),"")</f>
        <v/>
      </c>
      <c r="B56" s="12" t="str">
        <f ca="1">IF(G56+H56+I56+J56+E56+F56=2,IF(Tabelle2[[#This Row],[Kappe Weiß]]=Limits!$R$29,1,""),"")</f>
        <v/>
      </c>
      <c r="C56" s="291">
        <v>1</v>
      </c>
      <c r="D56" s="171">
        <f>IF(Limits!$P$4=TRUE,1,0)</f>
        <v>0</v>
      </c>
      <c r="E56" s="172">
        <f>IF(Daten!$P56+Daten!$Q56+Daten!$S56=3,1,0)</f>
        <v>0</v>
      </c>
      <c r="F56" s="173">
        <f ca="1">IF(AND(Limits!$Q$21=TRUE,Daten!O56=1)=TRUE,1,0)</f>
        <v>0</v>
      </c>
      <c r="G56" s="174">
        <f>IF(AND(Limits!$Q$25=TRUE,Daten!N56=1)=TRUE,1,0)</f>
        <v>0</v>
      </c>
      <c r="H56" s="174">
        <f>IF(AND(Limits!$Q$24=TRUE,Daten!M56=1)=TRUE,1,0)</f>
        <v>0</v>
      </c>
      <c r="I56" s="174">
        <f>IF(AND(Limits!$Q$23=TRUE,Daten!L56=1)=TRUE,1,0)</f>
        <v>0</v>
      </c>
      <c r="J56" s="174">
        <f>IF(AND(Limits!$Q$22=TRUE,Daten!K56=1)=TRUE,1,0)</f>
        <v>0</v>
      </c>
      <c r="K56" s="188">
        <f>IF(Daten!$V56=13,1,0)</f>
        <v>1</v>
      </c>
      <c r="L56" s="189">
        <f>IF(Daten!$V56&lt;&gt;Daten!$W56,1,IF(Daten!$V56=14,1,0))</f>
        <v>1</v>
      </c>
      <c r="M56" s="189">
        <f>IF(Daten!$V56&lt;&gt;Daten!$W56,1,IF(Daten!$V56=16,1,0))</f>
        <v>1</v>
      </c>
      <c r="N56" s="189">
        <f>IF(Daten!$W56=17,1,0)</f>
        <v>1</v>
      </c>
      <c r="O56" s="190">
        <f ca="1">IF(Daten!$X56=Sprache!$A$70,1,0)</f>
        <v>0</v>
      </c>
      <c r="P56" s="191">
        <f>IF(AND(Daten!$AQ56&lt;=KINVARO!$AW$3,Daten!$AR56&gt;=KINVARO!$AW$3)=TRUE,1,0)</f>
        <v>1</v>
      </c>
      <c r="Q56" s="192">
        <f>IF(AND(Daten!$AA56&lt;=KINVARO!$AW$4,Daten!$AB56&gt;=KINVARO!$AW$4)=TRUE,1,0)</f>
        <v>0</v>
      </c>
      <c r="R56" s="192"/>
      <c r="S56" s="192">
        <f>IF(AND(Daten!$AD56&lt;=Limits!$I$70,Daten!$AE56&gt;=Limits!$I$70)=TRUE,1,0)</f>
        <v>0</v>
      </c>
      <c r="T56" s="193">
        <f ca="1">IF(Daten!$Y56=Sprache!$A$135,1,0)</f>
        <v>0</v>
      </c>
      <c r="U56" s="124" t="str">
        <f ca="1">Sprache!$A$60</f>
        <v>L-80 Вертикальный подъемник</v>
      </c>
      <c r="V56" s="194">
        <v>13</v>
      </c>
      <c r="W56" s="193">
        <v>17</v>
      </c>
      <c r="X56" s="187" t="str">
        <f ca="1">Sprache!$A$141</f>
        <v>Alu</v>
      </c>
      <c r="Y56" s="187" t="str">
        <f ca="1">Sprache!$A$136</f>
        <v>nein</v>
      </c>
      <c r="Z56" s="187" t="str">
        <f ca="1">Sprache!$A$106</f>
        <v>Korpus</v>
      </c>
      <c r="AA56" s="187">
        <v>430</v>
      </c>
      <c r="AB56" s="124">
        <v>600</v>
      </c>
      <c r="AC56" s="187"/>
      <c r="AD56" s="195">
        <v>4</v>
      </c>
      <c r="AE56" s="196">
        <v>7.5</v>
      </c>
      <c r="AF56" s="263" t="str">
        <f>MID(Tabelle2[[#This Row],[bnr full]],1,4)</f>
        <v>F152</v>
      </c>
      <c r="AG56" s="264" t="str">
        <f>MID(Tabelle2[[#This Row],[bnr full]],5,3)</f>
        <v>147</v>
      </c>
      <c r="AH56" s="265" t="str">
        <f>MID(Tabelle2[[#This Row],[bnr full]],8,3)</f>
        <v>715</v>
      </c>
      <c r="AI56" s="264" t="str">
        <f>MID(Tabelle2[[#This Row],[bnr full]],11,3)</f>
        <v>201</v>
      </c>
      <c r="AJ56" s="252" t="str">
        <f>MID(Tabelle2[[#This Row],[bnr full]],11,3)</f>
        <v>201</v>
      </c>
      <c r="AK56" s="197" t="s">
        <v>1653</v>
      </c>
      <c r="AL56" s="124" t="str">
        <f ca="1">Sprache!$A$111</f>
        <v>Комплект (Л + П)</v>
      </c>
      <c r="AM56" s="187" t="str">
        <f ca="1">Sprache!$A$117</f>
        <v>Направляющий рычаг, тип 5</v>
      </c>
      <c r="AN56" s="187" t="str">
        <f ca="1">Sprache!$A$121</f>
        <v>Силовой механизм B</v>
      </c>
      <c r="AO56" s="187" t="str">
        <f ca="1">Sprache!$A$143</f>
        <v>Адаптер под алюминиевые рамки к комплекту Kinvaro L-80</v>
      </c>
      <c r="AP56" s="187" t="s">
        <v>814</v>
      </c>
      <c r="AQ56" s="187">
        <v>450</v>
      </c>
      <c r="AR56" s="124">
        <v>1200</v>
      </c>
      <c r="AS56" s="187"/>
      <c r="AT56" s="124"/>
      <c r="AU56"/>
      <c r="AV56"/>
      <c r="AY56"/>
      <c r="AZ56"/>
      <c r="BA56"/>
      <c r="BB56"/>
      <c r="BC56"/>
    </row>
    <row r="57" spans="1:55" ht="15.75" hidden="1" thickBot="1" x14ac:dyDescent="0.3">
      <c r="A57" s="12" t="str">
        <f ca="1">IF(F57+G57+H57+I57+J57+D57+E57=3,IF(Tabelle2[[#This Row],[Kappe Weiß]]=Limits!$R$29,1,""),"")</f>
        <v/>
      </c>
      <c r="B57" s="12" t="str">
        <f ca="1">IF(G57+H57+I57+J57+E57+F57=2,IF(Tabelle2[[#This Row],[Kappe Weiß]]=Limits!$R$29,1,""),"")</f>
        <v/>
      </c>
      <c r="C57" s="291">
        <v>1</v>
      </c>
      <c r="D57" s="207">
        <f>IF(Limits!$P$4=TRUE,1,0)</f>
        <v>0</v>
      </c>
      <c r="E57" s="172">
        <f>IF(Daten!$P57+Daten!$Q57+Daten!$S57=3,1,0)</f>
        <v>0</v>
      </c>
      <c r="F57" s="173">
        <f ca="1">IF(AND(Limits!$Q$21=TRUE,Daten!O57=1)=TRUE,1,0)</f>
        <v>0</v>
      </c>
      <c r="G57" s="174">
        <f>IF(AND(Limits!$Q$25=TRUE,Daten!N57=1)=TRUE,1,0)</f>
        <v>0</v>
      </c>
      <c r="H57" s="174">
        <f>IF(AND(Limits!$Q$24=TRUE,Daten!M57=1)=TRUE,1,0)</f>
        <v>0</v>
      </c>
      <c r="I57" s="174">
        <f>IF(AND(Limits!$Q$23=TRUE,Daten!L57=1)=TRUE,1,0)</f>
        <v>0</v>
      </c>
      <c r="J57" s="174">
        <f>IF(AND(Limits!$Q$22=TRUE,Daten!K57=1)=TRUE,1,0)</f>
        <v>0</v>
      </c>
      <c r="K57" s="188">
        <f>IF(Daten!$V57=13,1,0)</f>
        <v>1</v>
      </c>
      <c r="L57" s="189">
        <f>IF(Daten!$V57&lt;&gt;Daten!$W57,1,IF(Daten!$V57=14,1,0))</f>
        <v>1</v>
      </c>
      <c r="M57" s="189">
        <f>IF(Daten!$V57&lt;&gt;Daten!$W57,1,IF(Daten!$V57=16,1,0))</f>
        <v>1</v>
      </c>
      <c r="N57" s="189">
        <f>IF(Daten!$W57=17,1,0)</f>
        <v>1</v>
      </c>
      <c r="O57" s="190">
        <f ca="1">IF(Daten!$X57=Sprache!$A$70,1,0)</f>
        <v>0</v>
      </c>
      <c r="P57" s="191">
        <f>IF(AND(Daten!$AQ57&lt;=KINVARO!$AW$3,Daten!$AR57&gt;=KINVARO!$AW$3)=TRUE,1,0)</f>
        <v>1</v>
      </c>
      <c r="Q57" s="192">
        <f>IF(AND(Daten!$AA57&lt;=KINVARO!$AW$4,Daten!$AB57&gt;=KINVARO!$AW$4)=TRUE,1,0)</f>
        <v>0</v>
      </c>
      <c r="R57" s="192"/>
      <c r="S57" s="192">
        <f>IF(AND(Daten!$AD57&lt;=Limits!$I$70,Daten!$AE57&gt;=Limits!$I$70)=TRUE,1,0)</f>
        <v>1</v>
      </c>
      <c r="T57" s="193">
        <f ca="1">IF(Daten!$Y57=Sprache!$A$135,1,0)</f>
        <v>0</v>
      </c>
      <c r="U57" s="124" t="str">
        <f ca="1">Sprache!$A$60</f>
        <v>L-80 Вертикальный подъемник</v>
      </c>
      <c r="V57" s="194">
        <v>13</v>
      </c>
      <c r="W57" s="193">
        <v>17</v>
      </c>
      <c r="X57" s="187" t="str">
        <f ca="1">Sprache!$A$141</f>
        <v>Alu</v>
      </c>
      <c r="Y57" s="187" t="str">
        <f ca="1">Sprache!$A$136</f>
        <v>nein</v>
      </c>
      <c r="Z57" s="187" t="str">
        <f ca="1">Sprache!$A$106</f>
        <v>Korpus</v>
      </c>
      <c r="AA57" s="187">
        <v>430</v>
      </c>
      <c r="AB57" s="124">
        <v>600</v>
      </c>
      <c r="AC57" s="187"/>
      <c r="AD57" s="195">
        <v>7</v>
      </c>
      <c r="AE57" s="196">
        <v>14.6</v>
      </c>
      <c r="AF57" s="263" t="str">
        <f>MID(Tabelle2[[#This Row],[bnr full]],1,4)</f>
        <v>F152</v>
      </c>
      <c r="AG57" s="264" t="str">
        <f>MID(Tabelle2[[#This Row],[bnr full]],5,3)</f>
        <v>147</v>
      </c>
      <c r="AH57" s="265" t="str">
        <f>MID(Tabelle2[[#This Row],[bnr full]],8,3)</f>
        <v>836</v>
      </c>
      <c r="AI57" s="264" t="str">
        <f>MID(Tabelle2[[#This Row],[bnr full]],11,3)</f>
        <v>201</v>
      </c>
      <c r="AJ57" s="252" t="str">
        <f>MID(Tabelle2[[#This Row],[bnr full]],11,3)</f>
        <v>201</v>
      </c>
      <c r="AK57" s="197" t="s">
        <v>1654</v>
      </c>
      <c r="AL57" s="124" t="str">
        <f ca="1">Sprache!$A$111</f>
        <v>Комплект (Л + П)</v>
      </c>
      <c r="AM57" s="187" t="str">
        <f ca="1">Sprache!$A$117</f>
        <v>Направляющий рычаг, тип 5</v>
      </c>
      <c r="AN57" s="187" t="str">
        <f ca="1">Sprache!$A$122</f>
        <v>Силовой механизм C</v>
      </c>
      <c r="AO57" s="187" t="str">
        <f ca="1">Sprache!$A$143</f>
        <v>Адаптер под алюминиевые рамки к комплекту Kinvaro L-80</v>
      </c>
      <c r="AP57" s="187" t="s">
        <v>814</v>
      </c>
      <c r="AQ57" s="187">
        <v>450</v>
      </c>
      <c r="AR57" s="124">
        <v>1200</v>
      </c>
      <c r="AS57" s="187"/>
      <c r="AT57" s="124"/>
      <c r="AU57"/>
      <c r="AV57"/>
      <c r="AY57"/>
      <c r="AZ57"/>
      <c r="BA57"/>
      <c r="BB57"/>
      <c r="BC57"/>
    </row>
    <row r="58" spans="1:55" ht="15.75" thickTop="1" x14ac:dyDescent="0.25">
      <c r="A58" s="12" t="str">
        <f ca="1">IF(F58+G58+H58+I58+J58+D58+E58=3,IF(Tabelle2[[#This Row],[Kappe Weiß]]=Limits!$R$29,1,""),"")</f>
        <v/>
      </c>
      <c r="B58" s="12" t="str">
        <f ca="1">IF(G58+H58+I58+J58+E58+F58=2,IF(Tabelle2[[#This Row],[Kappe Weiß]]=Limits!$R$29,1,""),"")</f>
        <v/>
      </c>
      <c r="C58" s="293">
        <v>0</v>
      </c>
      <c r="D58" s="171">
        <f>IF(Limits!$P$3=TRUE,1,0)</f>
        <v>1</v>
      </c>
      <c r="E58" s="172">
        <f>IF(Daten!$P58+Daten!$Q58+Daten!$S58=3,1,0)</f>
        <v>0</v>
      </c>
      <c r="F58" s="173">
        <f ca="1">IF(AND(Limits!$Q$21=TRUE,Daten!O58=1)=TRUE,1,0)</f>
        <v>1</v>
      </c>
      <c r="G58" s="174">
        <f ca="1">IF(AND(Limits!$Q$25=TRUE,Daten!N58=1)=TRUE,1,0)</f>
        <v>0</v>
      </c>
      <c r="H58" s="174">
        <f ca="1">IF(AND(Limits!$Q$24=TRUE,Daten!M58=1)=TRUE,1,0)</f>
        <v>0</v>
      </c>
      <c r="I58" s="174">
        <f ca="1">IF(AND(Limits!$Q$23=TRUE,Daten!L58=1)=TRUE,1,0)</f>
        <v>0</v>
      </c>
      <c r="J58" s="174">
        <f ca="1">IF(AND(Limits!$Q$22=TRUE,Daten!K58=1)=TRUE,1,0)</f>
        <v>0</v>
      </c>
      <c r="K58" s="188">
        <f ca="1">IF(Daten!$V58=13,1,0)</f>
        <v>0</v>
      </c>
      <c r="L58" s="189">
        <f ca="1">IF(Daten!$V58&lt;&gt;Daten!$W58,1,IF(Daten!$V58=14,1,0))</f>
        <v>0</v>
      </c>
      <c r="M58" s="189">
        <f ca="1">IF(Daten!$V58&lt;&gt;Daten!$W58,1,IF(Daten!$V58=16,1,0))</f>
        <v>0</v>
      </c>
      <c r="N58" s="189">
        <f ca="1">IF(Daten!$W58=17,1,0)</f>
        <v>0</v>
      </c>
      <c r="O58" s="190">
        <f ca="1">IF(Daten!$X58=Sprache!$A$70,1,0)</f>
        <v>1</v>
      </c>
      <c r="P58" s="208">
        <f>IF(AND(Daten!$AQ58&lt;=KINVARO!$AW$3,Daten!$AR58&gt;=KINVARO!$AW$3)=TRUE,1,0)</f>
        <v>1</v>
      </c>
      <c r="Q58" s="209">
        <f>IF(AND(Daten!$AA58&lt;=KINVARO!$AW$4,Daten!$AB58&gt;=KINVARO!$AW$4)=TRUE,1,0)</f>
        <v>0</v>
      </c>
      <c r="R58" s="209"/>
      <c r="S58" s="209">
        <f>IF(AND(Daten!$AD58&lt;=Limits!$I$70,Daten!$AE58&gt;=Limits!$I$70)=TRUE,1,0)</f>
        <v>1</v>
      </c>
      <c r="T58" s="210">
        <f ca="1">IF(Daten!$Y58=Sprache!$A$135,1,0)</f>
        <v>0</v>
      </c>
      <c r="U58" s="211" t="str">
        <f ca="1">Sprache!$A$61</f>
        <v>F-20 Складной подъемник</v>
      </c>
      <c r="V58" s="212" t="str">
        <f ca="1">Sprache!$A$74</f>
        <v>var</v>
      </c>
      <c r="W58" s="210" t="str">
        <f ca="1">Sprache!$A$74</f>
        <v>var</v>
      </c>
      <c r="X58" s="213" t="str">
        <f ca="1">Sprache!$A$70</f>
        <v>соединение с древесиной</v>
      </c>
      <c r="Y58" s="187" t="str">
        <f ca="1">Sprache!$A$136</f>
        <v>nein</v>
      </c>
      <c r="Z58" s="213" t="str">
        <f ca="1">Sprache!$A$106</f>
        <v>Korpus</v>
      </c>
      <c r="AA58" s="213">
        <v>520</v>
      </c>
      <c r="AB58" s="211">
        <v>559</v>
      </c>
      <c r="AC58" s="213"/>
      <c r="AD58" s="214">
        <v>4.5999999999999996</v>
      </c>
      <c r="AE58" s="215">
        <v>13.8</v>
      </c>
      <c r="AF58" s="269" t="str">
        <f>MID(Tabelle2[[#This Row],[bnr full]],1,4)</f>
        <v>F152</v>
      </c>
      <c r="AG58" s="270" t="str">
        <f>MID(Tabelle2[[#This Row],[bnr full]],5,3)</f>
        <v>145</v>
      </c>
      <c r="AH58" s="271" t="str">
        <f>MID(Tabelle2[[#This Row],[bnr full]],8,3)</f>
        <v>237</v>
      </c>
      <c r="AI58" s="270" t="str">
        <f>MID(Tabelle2[[#This Row],[bnr full]],11,3)</f>
        <v>201</v>
      </c>
      <c r="AJ58" s="254" t="str">
        <f>MID(Tabelle2[[#This Row],[bnr full]],11,3)</f>
        <v>201</v>
      </c>
      <c r="AK58" s="216" t="s">
        <v>774</v>
      </c>
      <c r="AL58" s="211" t="str">
        <f ca="1">Sprache!$A$111</f>
        <v>Комплект (Л + П)</v>
      </c>
      <c r="AM58" s="213" t="str">
        <f ca="1">Sprache!$A$114</f>
        <v>Направляющий рычаг, тип 2</v>
      </c>
      <c r="AN58" s="213" t="str">
        <f ca="1">Sprache!$A$121</f>
        <v>Силовой механизм B</v>
      </c>
      <c r="AO58" s="213" t="s">
        <v>25</v>
      </c>
      <c r="AP58" s="213" t="s">
        <v>25</v>
      </c>
      <c r="AQ58" s="213">
        <v>400</v>
      </c>
      <c r="AR58" s="211">
        <v>1200</v>
      </c>
      <c r="AS58" s="187" t="str">
        <f ca="1">CONCATENATE("TIOMOS 120° ",Sprache!$A$98)</f>
        <v>TIOMOS 120° Шарнир</v>
      </c>
      <c r="AT58" s="187" t="str">
        <f ca="1">CONCATENATE("1D° ",Sprache!$A$149)</f>
        <v>1D° Монтажная плита</v>
      </c>
      <c r="AU58"/>
      <c r="AV58"/>
      <c r="AY58"/>
      <c r="AZ58"/>
      <c r="BA58"/>
      <c r="BB58"/>
      <c r="BC58"/>
    </row>
    <row r="59" spans="1:55" s="5" customFormat="1" x14ac:dyDescent="0.25">
      <c r="A59" s="12" t="str">
        <f ca="1">IF(F59+G59+H59+I59+J59+D59+E59=3,IF(Tabelle2[[#This Row],[Kappe Weiß]]=Limits!$R$29,1,""),"")</f>
        <v/>
      </c>
      <c r="B59" s="12" t="str">
        <f ca="1">IF(G59+H59+I59+J59+E59+F59=2,IF(Tabelle2[[#This Row],[Kappe Weiß]]=Limits!$R$29,1,""),"")</f>
        <v/>
      </c>
      <c r="C59" s="291">
        <v>0</v>
      </c>
      <c r="D59" s="171">
        <f>IF(Limits!$P$3=TRUE,1,0)</f>
        <v>1</v>
      </c>
      <c r="E59" s="172">
        <f>IF(Daten!$P59+Daten!$Q59+Daten!$S59=3,1,0)</f>
        <v>0</v>
      </c>
      <c r="F59" s="173">
        <f ca="1">IF(AND(Limits!$Q$21=TRUE,Daten!O59=1)=TRUE,1,0)</f>
        <v>0</v>
      </c>
      <c r="G59" s="174">
        <f>IF(AND(Limits!$Q$25=TRUE,Daten!N59=1)=TRUE,1,0)</f>
        <v>0</v>
      </c>
      <c r="H59" s="174">
        <f>IF(AND(Limits!$Q$24=TRUE,Daten!M59=1)=TRUE,1,0)</f>
        <v>0</v>
      </c>
      <c r="I59" s="174">
        <f>IF(AND(Limits!$Q$23=TRUE,Daten!L59=1)=TRUE,1,0)</f>
        <v>0</v>
      </c>
      <c r="J59" s="174">
        <f>IF(AND(Limits!$Q$22=TRUE,Daten!K59=1)=TRUE,1,0)</f>
        <v>0</v>
      </c>
      <c r="K59" s="188">
        <f>IF(Daten!$V59=13,1,0)</f>
        <v>1</v>
      </c>
      <c r="L59" s="189">
        <f>IF(Daten!$V59&lt;&gt;Daten!$W59,1,IF(Daten!$V59=14,1,0))</f>
        <v>1</v>
      </c>
      <c r="M59" s="189">
        <f>IF(Daten!$V59&lt;&gt;Daten!$W59,1,IF(Daten!$V59=16,1,0))</f>
        <v>1</v>
      </c>
      <c r="N59" s="189">
        <f>IF(Daten!$W59=17,1,0)</f>
        <v>1</v>
      </c>
      <c r="O59" s="190">
        <f ca="1">IF(Daten!$X59=Sprache!$A$70,1,0)</f>
        <v>0</v>
      </c>
      <c r="P59" s="191">
        <f>IF(AND(Daten!$AQ59&lt;=KINVARO!$AW$3,Daten!$AR59&gt;=KINVARO!$AW$3)=TRUE,1,0)</f>
        <v>1</v>
      </c>
      <c r="Q59" s="192">
        <f>IF(AND(Daten!$AA59&lt;=KINVARO!$AW$4,Daten!$AB59&gt;=KINVARO!$AW$4)=TRUE,1,0)</f>
        <v>0</v>
      </c>
      <c r="R59" s="192"/>
      <c r="S59" s="192">
        <f>IF(AND(Daten!$AD59&lt;=Limits!$I$70,Daten!$AE59&gt;=Limits!$I$70)=TRUE,1,0)</f>
        <v>1</v>
      </c>
      <c r="T59" s="193">
        <f ca="1">IF(Daten!$Y59=Sprache!$A$135,1,0)</f>
        <v>0</v>
      </c>
      <c r="U59" s="124" t="str">
        <f ca="1">Sprache!$A$61</f>
        <v>F-20 Складной подъемник</v>
      </c>
      <c r="V59" s="194">
        <v>13</v>
      </c>
      <c r="W59" s="193">
        <v>17</v>
      </c>
      <c r="X59" s="187" t="str">
        <f ca="1">Sprache!$A$141</f>
        <v>Alu</v>
      </c>
      <c r="Y59" s="187" t="str">
        <f ca="1">Sprache!$A$136</f>
        <v>nein</v>
      </c>
      <c r="Z59" s="187" t="str">
        <f ca="1">Sprache!$A$106</f>
        <v>Korpus</v>
      </c>
      <c r="AA59" s="187">
        <v>520</v>
      </c>
      <c r="AB59" s="124">
        <v>559</v>
      </c>
      <c r="AC59" s="187"/>
      <c r="AD59" s="195">
        <v>4.5999999999999996</v>
      </c>
      <c r="AE59" s="196">
        <v>13.8</v>
      </c>
      <c r="AF59" s="263" t="str">
        <f>MID(Tabelle2[[#This Row],[bnr full]],1,4)</f>
        <v>F152</v>
      </c>
      <c r="AG59" s="264" t="str">
        <f>MID(Tabelle2[[#This Row],[bnr full]],5,3)</f>
        <v>145</v>
      </c>
      <c r="AH59" s="265" t="str">
        <f>MID(Tabelle2[[#This Row],[bnr full]],8,3)</f>
        <v>237</v>
      </c>
      <c r="AI59" s="264" t="str">
        <f>MID(Tabelle2[[#This Row],[bnr full]],11,3)</f>
        <v>201</v>
      </c>
      <c r="AJ59" s="252" t="str">
        <f>MID(Tabelle2[[#This Row],[bnr full]],11,3)</f>
        <v>201</v>
      </c>
      <c r="AK59" s="197" t="s">
        <v>774</v>
      </c>
      <c r="AL59" s="124" t="str">
        <f ca="1">Sprache!$A$111</f>
        <v>Комплект (Л + П)</v>
      </c>
      <c r="AM59" s="187" t="str">
        <f ca="1">Sprache!$A$114</f>
        <v>Направляющий рычаг, тип 2</v>
      </c>
      <c r="AN59" s="187" t="str">
        <f ca="1">Sprache!$A$121</f>
        <v>Силовой механизм B</v>
      </c>
      <c r="AO59" s="187" t="str">
        <f ca="1">Sprache!$A$144</f>
        <v>Адаптер под алюминиевые рамки к комплекту Kinvaro F-20</v>
      </c>
      <c r="AP59" s="187" t="s">
        <v>815</v>
      </c>
      <c r="AQ59" s="187">
        <v>400</v>
      </c>
      <c r="AR59" s="124">
        <v>1200</v>
      </c>
      <c r="AS59" s="187" t="str">
        <f ca="1">CONCATENATE("TIOMOS 110° ",Sprache!$A$150)</f>
        <v>TIOMOS 110° Шарнир для алюминиевой рамки</v>
      </c>
      <c r="AT59" s="187" t="str">
        <f ca="1">CONCATENATE("1D° ",Sprache!$A$149)</f>
        <v>1D° Монтажная плита</v>
      </c>
    </row>
    <row r="60" spans="1:55" x14ac:dyDescent="0.25">
      <c r="A60" s="12" t="str">
        <f ca="1">IF(F60+G60+H60+I60+J60+D60+E60=3,IF(Tabelle2[[#This Row],[Kappe Weiß]]=Limits!$R$29,1,""),"")</f>
        <v/>
      </c>
      <c r="B60" s="12" t="str">
        <f ca="1">IF(G60+H60+I60+J60+E60+F60=2,IF(Tabelle2[[#This Row],[Kappe Weiß]]=Limits!$R$29,1,""),"")</f>
        <v/>
      </c>
      <c r="C60" s="292">
        <v>0</v>
      </c>
      <c r="D60" s="171">
        <f>IF(Limits!$P$3=TRUE,1,0)</f>
        <v>1</v>
      </c>
      <c r="E60" s="172">
        <f>IF(Daten!$P60+Daten!$Q60+Daten!$S60=3,1,0)</f>
        <v>0</v>
      </c>
      <c r="F60" s="173">
        <f ca="1">IF(AND(Limits!$Q$21=TRUE,Daten!O60=1)=TRUE,1,0)</f>
        <v>1</v>
      </c>
      <c r="G60" s="174">
        <f ca="1">IF(AND(Limits!$Q$25=TRUE,Daten!N60=1)=TRUE,1,0)</f>
        <v>0</v>
      </c>
      <c r="H60" s="174">
        <f ca="1">IF(AND(Limits!$Q$24=TRUE,Daten!M60=1)=TRUE,1,0)</f>
        <v>0</v>
      </c>
      <c r="I60" s="174">
        <f ca="1">IF(AND(Limits!$Q$23=TRUE,Daten!L60=1)=TRUE,1,0)</f>
        <v>0</v>
      </c>
      <c r="J60" s="174">
        <f ca="1">IF(AND(Limits!$Q$22=TRUE,Daten!K60=1)=TRUE,1,0)</f>
        <v>0</v>
      </c>
      <c r="K60" s="188">
        <f ca="1">IF(Daten!$V60=13,1,0)</f>
        <v>0</v>
      </c>
      <c r="L60" s="189">
        <f ca="1">IF(Daten!$V60&lt;&gt;Daten!$W60,1,IF(Daten!$V60=14,1,0))</f>
        <v>0</v>
      </c>
      <c r="M60" s="189">
        <f ca="1">IF(Daten!$V60&lt;&gt;Daten!$W60,1,IF(Daten!$V60=16,1,0))</f>
        <v>0</v>
      </c>
      <c r="N60" s="189">
        <f ca="1">IF(Daten!$W60=17,1,0)</f>
        <v>0</v>
      </c>
      <c r="O60" s="190">
        <f ca="1">IF(Daten!$X60=Sprache!$A$70,1,0)</f>
        <v>1</v>
      </c>
      <c r="P60" s="198">
        <f>IF(AND(Daten!$AQ60&lt;=KINVARO!$AW$3,Daten!$AR60&gt;=KINVARO!$AW$3)=TRUE,1,0)</f>
        <v>1</v>
      </c>
      <c r="Q60" s="199">
        <f>IF(AND(Daten!$AA60&lt;=KINVARO!$AW$4,Daten!$AB60&gt;=KINVARO!$AW$4)=TRUE,1,0)</f>
        <v>0</v>
      </c>
      <c r="R60" s="199"/>
      <c r="S60" s="199">
        <f>IF(AND(Daten!$AD60&lt;=Limits!$I$70,Daten!$AE60&gt;=Limits!$I$70)=TRUE,1,0)</f>
        <v>1</v>
      </c>
      <c r="T60" s="200">
        <f ca="1">IF(Daten!$Y60=Sprache!$A$135,1,0)</f>
        <v>0</v>
      </c>
      <c r="U60" s="201" t="str">
        <f ca="1">Sprache!$A$61</f>
        <v>F-20 Складной подъемник</v>
      </c>
      <c r="V60" s="202" t="str">
        <f ca="1">Sprache!$A$74</f>
        <v>var</v>
      </c>
      <c r="W60" s="200" t="str">
        <f ca="1">Sprache!$A$74</f>
        <v>var</v>
      </c>
      <c r="X60" s="203" t="str">
        <f ca="1">Sprache!$A$70</f>
        <v>соединение с древесиной</v>
      </c>
      <c r="Y60" s="187" t="str">
        <f ca="1">Sprache!$A$136</f>
        <v>nein</v>
      </c>
      <c r="Z60" s="203" t="str">
        <f ca="1">Sprache!$A$106</f>
        <v>Korpus</v>
      </c>
      <c r="AA60" s="203">
        <v>560</v>
      </c>
      <c r="AB60" s="201">
        <v>599</v>
      </c>
      <c r="AC60" s="203"/>
      <c r="AD60" s="204">
        <v>4.4000000000000004</v>
      </c>
      <c r="AE60" s="205">
        <v>12.6</v>
      </c>
      <c r="AF60" s="266" t="str">
        <f>MID(Tabelle2[[#This Row],[bnr full]],1,4)</f>
        <v>F152</v>
      </c>
      <c r="AG60" s="267" t="str">
        <f>MID(Tabelle2[[#This Row],[bnr full]],5,3)</f>
        <v>145</v>
      </c>
      <c r="AH60" s="268" t="str">
        <f>MID(Tabelle2[[#This Row],[bnr full]],8,3)</f>
        <v>238</v>
      </c>
      <c r="AI60" s="267" t="str">
        <f>MID(Tabelle2[[#This Row],[bnr full]],11,3)</f>
        <v>201</v>
      </c>
      <c r="AJ60" s="253" t="str">
        <f>MID(Tabelle2[[#This Row],[bnr full]],11,3)</f>
        <v>201</v>
      </c>
      <c r="AK60" s="206" t="s">
        <v>775</v>
      </c>
      <c r="AL60" s="201" t="str">
        <f ca="1">Sprache!$A$111</f>
        <v>Комплект (Л + П)</v>
      </c>
      <c r="AM60" s="203" t="str">
        <f ca="1">Sprache!$A$115</f>
        <v>Направляющий рычаг, тип 3</v>
      </c>
      <c r="AN60" s="203" t="str">
        <f ca="1">Sprache!$A$121</f>
        <v>Силовой механизм B</v>
      </c>
      <c r="AO60" s="203" t="s">
        <v>25</v>
      </c>
      <c r="AP60" s="203" t="s">
        <v>25</v>
      </c>
      <c r="AQ60" s="203">
        <v>400</v>
      </c>
      <c r="AR60" s="201">
        <v>1200</v>
      </c>
      <c r="AS60" s="187" t="str">
        <f ca="1">CONCATENATE("TIOMOS 120° ",Sprache!$A$98)</f>
        <v>TIOMOS 120° Шарнир</v>
      </c>
      <c r="AT60" s="187" t="str">
        <f ca="1">CONCATENATE("1D° ",Sprache!$A$149)</f>
        <v>1D° Монтажная плита</v>
      </c>
      <c r="AU60"/>
      <c r="AV60"/>
      <c r="AY60"/>
      <c r="AZ60"/>
      <c r="BA60"/>
      <c r="BB60"/>
      <c r="BC60"/>
    </row>
    <row r="61" spans="1:55" x14ac:dyDescent="0.25">
      <c r="A61" s="12" t="str">
        <f ca="1">IF(F61+G61+H61+I61+J61+D61+E61=3,IF(Tabelle2[[#This Row],[Kappe Weiß]]=Limits!$R$29,1,""),"")</f>
        <v/>
      </c>
      <c r="B61" s="12" t="str">
        <f ca="1">IF(G61+H61+I61+J61+E61+F61=2,IF(Tabelle2[[#This Row],[Kappe Weiß]]=Limits!$R$29,1,""),"")</f>
        <v/>
      </c>
      <c r="C61" s="291">
        <v>0</v>
      </c>
      <c r="D61" s="171">
        <f>IF(Limits!$P$3=TRUE,1,0)</f>
        <v>1</v>
      </c>
      <c r="E61" s="172">
        <f>IF(Daten!$P61+Daten!$Q61+Daten!$S61=3,1,0)</f>
        <v>0</v>
      </c>
      <c r="F61" s="173">
        <f ca="1">IF(AND(Limits!$Q$21=TRUE,Daten!O61=1)=TRUE,1,0)</f>
        <v>1</v>
      </c>
      <c r="G61" s="174">
        <f ca="1">IF(AND(Limits!$Q$25=TRUE,Daten!N61=1)=TRUE,1,0)</f>
        <v>0</v>
      </c>
      <c r="H61" s="174">
        <f ca="1">IF(AND(Limits!$Q$24=TRUE,Daten!M61=1)=TRUE,1,0)</f>
        <v>0</v>
      </c>
      <c r="I61" s="174">
        <f ca="1">IF(AND(Limits!$Q$23=TRUE,Daten!L61=1)=TRUE,1,0)</f>
        <v>0</v>
      </c>
      <c r="J61" s="174">
        <f ca="1">IF(AND(Limits!$Q$22=TRUE,Daten!K61=1)=TRUE,1,0)</f>
        <v>0</v>
      </c>
      <c r="K61" s="188">
        <f ca="1">IF(Daten!$V61=13,1,0)</f>
        <v>0</v>
      </c>
      <c r="L61" s="189">
        <f ca="1">IF(Daten!$V61&lt;&gt;Daten!$W61,1,IF(Daten!$V61=14,1,0))</f>
        <v>0</v>
      </c>
      <c r="M61" s="189">
        <f ca="1">IF(Daten!$V61&lt;&gt;Daten!$W61,1,IF(Daten!$V61=16,1,0))</f>
        <v>0</v>
      </c>
      <c r="N61" s="189">
        <f ca="1">IF(Daten!$W61=17,1,0)</f>
        <v>0</v>
      </c>
      <c r="O61" s="190">
        <f ca="1">IF(Daten!$X61=Sprache!$A$70,1,0)</f>
        <v>1</v>
      </c>
      <c r="P61" s="191">
        <f>IF(AND(Daten!$AQ61&lt;=KINVARO!$AW$3,Daten!$AR61&gt;=KINVARO!$AW$3)=TRUE,1,0)</f>
        <v>1</v>
      </c>
      <c r="Q61" s="192">
        <f>IF(AND(Daten!$AA61&lt;=KINVARO!$AW$4,Daten!$AB61&gt;=KINVARO!$AW$4)=TRUE,1,0)</f>
        <v>0</v>
      </c>
      <c r="R61" s="192"/>
      <c r="S61" s="192">
        <f>IF(AND(Daten!$AD61&lt;=Limits!$I$70,Daten!$AE61&gt;=Limits!$I$70)=TRUE,1,0)</f>
        <v>1</v>
      </c>
      <c r="T61" s="193">
        <f ca="1">IF(Daten!$Y61=Sprache!$A$135,1,0)</f>
        <v>0</v>
      </c>
      <c r="U61" s="124" t="str">
        <f ca="1">Sprache!$A$61</f>
        <v>F-20 Складной подъемник</v>
      </c>
      <c r="V61" s="194" t="str">
        <f ca="1">Sprache!$A$74</f>
        <v>var</v>
      </c>
      <c r="W61" s="193" t="str">
        <f ca="1">Sprache!$A$74</f>
        <v>var</v>
      </c>
      <c r="X61" s="187" t="str">
        <f ca="1">Sprache!$A$70</f>
        <v>соединение с древесиной</v>
      </c>
      <c r="Y61" s="187" t="str">
        <f ca="1">Sprache!$A$136</f>
        <v>nein</v>
      </c>
      <c r="Z61" s="187" t="str">
        <f ca="1">Sprache!$A$106</f>
        <v>Korpus</v>
      </c>
      <c r="AA61" s="187">
        <v>560</v>
      </c>
      <c r="AB61" s="124">
        <v>599</v>
      </c>
      <c r="AC61" s="187"/>
      <c r="AD61" s="195">
        <v>7</v>
      </c>
      <c r="AE61" s="196">
        <v>14.7</v>
      </c>
      <c r="AF61" s="263" t="str">
        <f>MID(Tabelle2[[#This Row],[bnr full]],1,4)</f>
        <v>F152</v>
      </c>
      <c r="AG61" s="264" t="str">
        <f>MID(Tabelle2[[#This Row],[bnr full]],5,3)</f>
        <v>145</v>
      </c>
      <c r="AH61" s="265" t="str">
        <f>MID(Tabelle2[[#This Row],[bnr full]],8,3)</f>
        <v>239</v>
      </c>
      <c r="AI61" s="264" t="str">
        <f>MID(Tabelle2[[#This Row],[bnr full]],11,3)</f>
        <v>201</v>
      </c>
      <c r="AJ61" s="252" t="str">
        <f>MID(Tabelle2[[#This Row],[bnr full]],11,3)</f>
        <v>201</v>
      </c>
      <c r="AK61" s="197" t="s">
        <v>776</v>
      </c>
      <c r="AL61" s="124" t="str">
        <f ca="1">Sprache!$A$111</f>
        <v>Комплект (Л + П)</v>
      </c>
      <c r="AM61" s="187" t="str">
        <f ca="1">Sprache!$A$115</f>
        <v>Направляющий рычаг, тип 3</v>
      </c>
      <c r="AN61" s="187" t="str">
        <f ca="1">Sprache!$A$122</f>
        <v>Силовой механизм C</v>
      </c>
      <c r="AO61" s="187" t="s">
        <v>25</v>
      </c>
      <c r="AP61" s="187" t="s">
        <v>25</v>
      </c>
      <c r="AQ61" s="187">
        <v>400</v>
      </c>
      <c r="AR61" s="124">
        <v>1200</v>
      </c>
      <c r="AS61" s="187" t="str">
        <f ca="1">CONCATENATE("TIOMOS 120° ",Sprache!$A$98)</f>
        <v>TIOMOS 120° Шарнир</v>
      </c>
      <c r="AT61" s="187" t="str">
        <f ca="1">CONCATENATE("1D° ",Sprache!$A$149)</f>
        <v>1D° Монтажная плита</v>
      </c>
      <c r="AU61"/>
      <c r="AV61"/>
      <c r="AY61"/>
      <c r="AZ61"/>
      <c r="BA61"/>
      <c r="BB61"/>
      <c r="BC61"/>
    </row>
    <row r="62" spans="1:55" x14ac:dyDescent="0.25">
      <c r="A62" s="12" t="str">
        <f ca="1">IF(F62+G62+H62+I62+J62+D62+E62=3,IF(Tabelle2[[#This Row],[Kappe Weiß]]=Limits!$R$29,1,""),"")</f>
        <v/>
      </c>
      <c r="B62" s="12" t="str">
        <f ca="1">IF(G62+H62+I62+J62+E62+F62=2,IF(Tabelle2[[#This Row],[Kappe Weiß]]=Limits!$R$29,1,""),"")</f>
        <v/>
      </c>
      <c r="C62" s="291">
        <v>0</v>
      </c>
      <c r="D62" s="171">
        <f>IF(Limits!$P$3=TRUE,1,0)</f>
        <v>1</v>
      </c>
      <c r="E62" s="172">
        <f>IF(Daten!$P62+Daten!$Q62+Daten!$S62=3,1,0)</f>
        <v>0</v>
      </c>
      <c r="F62" s="173">
        <f ca="1">IF(AND(Limits!$Q$21=TRUE,Daten!O62=1)=TRUE,1,0)</f>
        <v>0</v>
      </c>
      <c r="G62" s="174">
        <f>IF(AND(Limits!$Q$25=TRUE,Daten!N62=1)=TRUE,1,0)</f>
        <v>0</v>
      </c>
      <c r="H62" s="174">
        <f>IF(AND(Limits!$Q$24=TRUE,Daten!M62=1)=TRUE,1,0)</f>
        <v>0</v>
      </c>
      <c r="I62" s="174">
        <f>IF(AND(Limits!$Q$23=TRUE,Daten!L62=1)=TRUE,1,0)</f>
        <v>0</v>
      </c>
      <c r="J62" s="174">
        <f>IF(AND(Limits!$Q$22=TRUE,Daten!K62=1)=TRUE,1,0)</f>
        <v>0</v>
      </c>
      <c r="K62" s="188">
        <f>IF(Daten!$V62=13,1,0)</f>
        <v>1</v>
      </c>
      <c r="L62" s="189">
        <f>IF(Daten!$V62&lt;&gt;Daten!$W62,1,IF(Daten!$V62=14,1,0))</f>
        <v>1</v>
      </c>
      <c r="M62" s="189">
        <f>IF(Daten!$V62&lt;&gt;Daten!$W62,1,IF(Daten!$V62=16,1,0))</f>
        <v>1</v>
      </c>
      <c r="N62" s="189">
        <f>IF(Daten!$W62=17,1,0)</f>
        <v>1</v>
      </c>
      <c r="O62" s="190">
        <f ca="1">IF(Daten!$X62=Sprache!$A$70,1,0)</f>
        <v>0</v>
      </c>
      <c r="P62" s="191">
        <f>IF(AND(Daten!$AQ62&lt;=KINVARO!$AW$3,Daten!$AR62&gt;=KINVARO!$AW$3)=TRUE,1,0)</f>
        <v>1</v>
      </c>
      <c r="Q62" s="192">
        <f>IF(AND(Daten!$AA62&lt;=KINVARO!$AW$4,Daten!$AB62&gt;=KINVARO!$AW$4)=TRUE,1,0)</f>
        <v>0</v>
      </c>
      <c r="R62" s="192"/>
      <c r="S62" s="192">
        <f>IF(AND(Daten!$AD62&lt;=Limits!$I$70,Daten!$AE62&gt;=Limits!$I$70)=TRUE,1,0)</f>
        <v>1</v>
      </c>
      <c r="T62" s="193">
        <f ca="1">IF(Daten!$Y62=Sprache!$A$135,1,0)</f>
        <v>0</v>
      </c>
      <c r="U62" s="124" t="str">
        <f ca="1">Sprache!$A$61</f>
        <v>F-20 Складной подъемник</v>
      </c>
      <c r="V62" s="194">
        <v>13</v>
      </c>
      <c r="W62" s="193">
        <v>17</v>
      </c>
      <c r="X62" s="187" t="str">
        <f ca="1">Sprache!$A$141</f>
        <v>Alu</v>
      </c>
      <c r="Y62" s="187" t="str">
        <f ca="1">Sprache!$A$136</f>
        <v>nein</v>
      </c>
      <c r="Z62" s="187" t="str">
        <f ca="1">Sprache!$A$106</f>
        <v>Korpus</v>
      </c>
      <c r="AA62" s="187">
        <v>560</v>
      </c>
      <c r="AB62" s="124">
        <v>599</v>
      </c>
      <c r="AC62" s="187"/>
      <c r="AD62" s="195">
        <v>4.4000000000000004</v>
      </c>
      <c r="AE62" s="196">
        <v>12.6</v>
      </c>
      <c r="AF62" s="263" t="str">
        <f>MID(Tabelle2[[#This Row],[bnr full]],1,4)</f>
        <v>F152</v>
      </c>
      <c r="AG62" s="264" t="str">
        <f>MID(Tabelle2[[#This Row],[bnr full]],5,3)</f>
        <v>145</v>
      </c>
      <c r="AH62" s="265" t="str">
        <f>MID(Tabelle2[[#This Row],[bnr full]],8,3)</f>
        <v>238</v>
      </c>
      <c r="AI62" s="264" t="str">
        <f>MID(Tabelle2[[#This Row],[bnr full]],11,3)</f>
        <v>201</v>
      </c>
      <c r="AJ62" s="252" t="str">
        <f>MID(Tabelle2[[#This Row],[bnr full]],11,3)</f>
        <v>201</v>
      </c>
      <c r="AK62" s="197" t="s">
        <v>775</v>
      </c>
      <c r="AL62" s="124" t="str">
        <f ca="1">Sprache!$A$111</f>
        <v>Комплект (Л + П)</v>
      </c>
      <c r="AM62" s="187" t="str">
        <f ca="1">Sprache!$A$115</f>
        <v>Направляющий рычаг, тип 3</v>
      </c>
      <c r="AN62" s="187" t="str">
        <f ca="1">Sprache!$A$121</f>
        <v>Силовой механизм B</v>
      </c>
      <c r="AO62" s="187" t="str">
        <f ca="1">Sprache!$A$144</f>
        <v>Адаптер под алюминиевые рамки к комплекту Kinvaro F-20</v>
      </c>
      <c r="AP62" s="187" t="s">
        <v>815</v>
      </c>
      <c r="AQ62" s="187">
        <v>400</v>
      </c>
      <c r="AR62" s="124">
        <v>1200</v>
      </c>
      <c r="AS62" s="187" t="str">
        <f ca="1">CONCATENATE("TIOMOS 110° ",Sprache!$A$150)</f>
        <v>TIOMOS 110° Шарнир для алюминиевой рамки</v>
      </c>
      <c r="AT62" s="187" t="str">
        <f ca="1">CONCATENATE("1D° ",Sprache!$A$149)</f>
        <v>1D° Монтажная плита</v>
      </c>
      <c r="AU62"/>
      <c r="AV62"/>
      <c r="AY62"/>
      <c r="AZ62"/>
      <c r="BA62"/>
      <c r="BB62"/>
      <c r="BC62"/>
    </row>
    <row r="63" spans="1:55" x14ac:dyDescent="0.25">
      <c r="A63" s="12" t="str">
        <f ca="1">IF(F63+G63+H63+I63+J63+D63+E63=3,IF(Tabelle2[[#This Row],[Kappe Weiß]]=Limits!$R$29,1,""),"")</f>
        <v/>
      </c>
      <c r="B63" s="12" t="str">
        <f ca="1">IF(G63+H63+I63+J63+E63+F63=2,IF(Tabelle2[[#This Row],[Kappe Weiß]]=Limits!$R$29,1,""),"")</f>
        <v/>
      </c>
      <c r="C63" s="291">
        <v>0</v>
      </c>
      <c r="D63" s="171">
        <f>IF(Limits!$P$3=TRUE,1,0)</f>
        <v>1</v>
      </c>
      <c r="E63" s="172">
        <f>IF(Daten!$P63+Daten!$Q63+Daten!$S63=3,1,0)</f>
        <v>0</v>
      </c>
      <c r="F63" s="173">
        <f ca="1">IF(AND(Limits!$Q$21=TRUE,Daten!O63=1)=TRUE,1,0)</f>
        <v>0</v>
      </c>
      <c r="G63" s="174">
        <f>IF(AND(Limits!$Q$25=TRUE,Daten!N63=1)=TRUE,1,0)</f>
        <v>0</v>
      </c>
      <c r="H63" s="174">
        <f>IF(AND(Limits!$Q$24=TRUE,Daten!M63=1)=TRUE,1,0)</f>
        <v>0</v>
      </c>
      <c r="I63" s="174">
        <f>IF(AND(Limits!$Q$23=TRUE,Daten!L63=1)=TRUE,1,0)</f>
        <v>0</v>
      </c>
      <c r="J63" s="174">
        <f>IF(AND(Limits!$Q$22=TRUE,Daten!K63=1)=TRUE,1,0)</f>
        <v>0</v>
      </c>
      <c r="K63" s="188">
        <f>IF(Daten!$V63=13,1,0)</f>
        <v>1</v>
      </c>
      <c r="L63" s="189">
        <f>IF(Daten!$V63&lt;&gt;Daten!$W63,1,IF(Daten!$V63=14,1,0))</f>
        <v>1</v>
      </c>
      <c r="M63" s="189">
        <f>IF(Daten!$V63&lt;&gt;Daten!$W63,1,IF(Daten!$V63=16,1,0))</f>
        <v>1</v>
      </c>
      <c r="N63" s="189">
        <f>IF(Daten!$W63=17,1,0)</f>
        <v>1</v>
      </c>
      <c r="O63" s="190">
        <f ca="1">IF(Daten!$X63=Sprache!$A$70,1,0)</f>
        <v>0</v>
      </c>
      <c r="P63" s="191">
        <f>IF(AND(Daten!$AQ63&lt;=KINVARO!$AW$3,Daten!$AR63&gt;=KINVARO!$AW$3)=TRUE,1,0)</f>
        <v>1</v>
      </c>
      <c r="Q63" s="192">
        <f>IF(AND(Daten!$AA63&lt;=KINVARO!$AW$4,Daten!$AB63&gt;=KINVARO!$AW$4)=TRUE,1,0)</f>
        <v>0</v>
      </c>
      <c r="R63" s="192"/>
      <c r="S63" s="192">
        <f>IF(AND(Daten!$AD63&lt;=Limits!$I$70,Daten!$AE63&gt;=Limits!$I$70)=TRUE,1,0)</f>
        <v>1</v>
      </c>
      <c r="T63" s="193">
        <f ca="1">IF(Daten!$Y63=Sprache!$A$135,1,0)</f>
        <v>0</v>
      </c>
      <c r="U63" s="124" t="str">
        <f ca="1">Sprache!$A$61</f>
        <v>F-20 Складной подъемник</v>
      </c>
      <c r="V63" s="194">
        <v>13</v>
      </c>
      <c r="W63" s="193">
        <v>17</v>
      </c>
      <c r="X63" s="187" t="str">
        <f ca="1">Sprache!$A$141</f>
        <v>Alu</v>
      </c>
      <c r="Y63" s="187" t="str">
        <f ca="1">Sprache!$A$136</f>
        <v>nein</v>
      </c>
      <c r="Z63" s="187" t="str">
        <f ca="1">Sprache!$A$106</f>
        <v>Korpus</v>
      </c>
      <c r="AA63" s="187">
        <v>560</v>
      </c>
      <c r="AB63" s="124">
        <v>599</v>
      </c>
      <c r="AC63" s="187"/>
      <c r="AD63" s="195">
        <v>7</v>
      </c>
      <c r="AE63" s="196">
        <v>14.7</v>
      </c>
      <c r="AF63" s="263" t="str">
        <f>MID(Tabelle2[[#This Row],[bnr full]],1,4)</f>
        <v>F152</v>
      </c>
      <c r="AG63" s="264" t="str">
        <f>MID(Tabelle2[[#This Row],[bnr full]],5,3)</f>
        <v>145</v>
      </c>
      <c r="AH63" s="265" t="str">
        <f>MID(Tabelle2[[#This Row],[bnr full]],8,3)</f>
        <v>239</v>
      </c>
      <c r="AI63" s="264" t="str">
        <f>MID(Tabelle2[[#This Row],[bnr full]],11,3)</f>
        <v>201</v>
      </c>
      <c r="AJ63" s="252" t="str">
        <f>MID(Tabelle2[[#This Row],[bnr full]],11,3)</f>
        <v>201</v>
      </c>
      <c r="AK63" s="197" t="s">
        <v>776</v>
      </c>
      <c r="AL63" s="124" t="str">
        <f ca="1">Sprache!$A$111</f>
        <v>Комплект (Л + П)</v>
      </c>
      <c r="AM63" s="187" t="str">
        <f ca="1">Sprache!$A$115</f>
        <v>Направляющий рычаг, тип 3</v>
      </c>
      <c r="AN63" s="187" t="str">
        <f ca="1">Sprache!$A$122</f>
        <v>Силовой механизм C</v>
      </c>
      <c r="AO63" s="187" t="str">
        <f ca="1">Sprache!$A$144</f>
        <v>Адаптер под алюминиевые рамки к комплекту Kinvaro F-20</v>
      </c>
      <c r="AP63" s="187" t="s">
        <v>815</v>
      </c>
      <c r="AQ63" s="187">
        <v>400</v>
      </c>
      <c r="AR63" s="124">
        <v>1200</v>
      </c>
      <c r="AS63" s="187" t="str">
        <f ca="1">CONCATENATE("TIOMOS 110° ",Sprache!$A$150)</f>
        <v>TIOMOS 110° Шарнир для алюминиевой рамки</v>
      </c>
      <c r="AT63" s="187" t="str">
        <f ca="1">CONCATENATE("1D° ",Sprache!$A$149)</f>
        <v>1D° Монтажная плита</v>
      </c>
      <c r="AU63"/>
      <c r="AV63"/>
      <c r="AY63"/>
      <c r="AZ63"/>
      <c r="BA63"/>
      <c r="BB63"/>
      <c r="BC63"/>
    </row>
    <row r="64" spans="1:55" x14ac:dyDescent="0.25">
      <c r="A64" s="12" t="str">
        <f ca="1">IF(F64+G64+H64+I64+J64+D64+E64=3,IF(Tabelle2[[#This Row],[Kappe Weiß]]=Limits!$R$29,1,""),"")</f>
        <v/>
      </c>
      <c r="B64" s="12" t="str">
        <f ca="1">IF(G64+H64+I64+J64+E64+F64=2,IF(Tabelle2[[#This Row],[Kappe Weiß]]=Limits!$R$29,1,""),"")</f>
        <v/>
      </c>
      <c r="C64" s="292">
        <v>0</v>
      </c>
      <c r="D64" s="171">
        <f>IF(Limits!$P$3=TRUE,1,0)</f>
        <v>1</v>
      </c>
      <c r="E64" s="172">
        <f>IF(Daten!$P64+Daten!$Q64+Daten!$S64=3,1,0)</f>
        <v>0</v>
      </c>
      <c r="F64" s="173">
        <f ca="1">IF(AND(Limits!$Q$21=TRUE,Daten!O64=1)=TRUE,1,0)</f>
        <v>1</v>
      </c>
      <c r="G64" s="174">
        <f ca="1">IF(AND(Limits!$Q$25=TRUE,Daten!N64=1)=TRUE,1,0)</f>
        <v>0</v>
      </c>
      <c r="H64" s="174">
        <f ca="1">IF(AND(Limits!$Q$24=TRUE,Daten!M64=1)=TRUE,1,0)</f>
        <v>0</v>
      </c>
      <c r="I64" s="174">
        <f ca="1">IF(AND(Limits!$Q$23=TRUE,Daten!L64=1)=TRUE,1,0)</f>
        <v>0</v>
      </c>
      <c r="J64" s="174">
        <f ca="1">IF(AND(Limits!$Q$22=TRUE,Daten!K64=1)=TRUE,1,0)</f>
        <v>0</v>
      </c>
      <c r="K64" s="188">
        <f ca="1">IF(Daten!$V64=13,1,0)</f>
        <v>0</v>
      </c>
      <c r="L64" s="189">
        <f ca="1">IF(Daten!$V64&lt;&gt;Daten!$W64,1,IF(Daten!$V64=14,1,0))</f>
        <v>0</v>
      </c>
      <c r="M64" s="189">
        <f ca="1">IF(Daten!$V64&lt;&gt;Daten!$W64,1,IF(Daten!$V64=16,1,0))</f>
        <v>0</v>
      </c>
      <c r="N64" s="189">
        <f ca="1">IF(Daten!$W64=17,1,0)</f>
        <v>0</v>
      </c>
      <c r="O64" s="190">
        <f ca="1">IF(Daten!$X64=Sprache!$A$70,1,0)</f>
        <v>1</v>
      </c>
      <c r="P64" s="198">
        <f>IF(AND(Daten!$AQ64&lt;=KINVARO!$AW$3,Daten!$AR64&gt;=KINVARO!$AW$3)=TRUE,1,0)</f>
        <v>1</v>
      </c>
      <c r="Q64" s="199">
        <f>IF(AND(Daten!$AA64&lt;=KINVARO!$AW$4,Daten!$AB64&gt;=KINVARO!$AW$4)=TRUE,1,0)</f>
        <v>0</v>
      </c>
      <c r="R64" s="199"/>
      <c r="S64" s="199">
        <f>IF(AND(Daten!$AD64&lt;=Limits!$I$70,Daten!$AE64&gt;=Limits!$I$70)=TRUE,1,0)</f>
        <v>1</v>
      </c>
      <c r="T64" s="200">
        <f ca="1">IF(Daten!$Y64=Sprache!$A$135,1,0)</f>
        <v>0</v>
      </c>
      <c r="U64" s="201" t="str">
        <f ca="1">Sprache!$A$61</f>
        <v>F-20 Складной подъемник</v>
      </c>
      <c r="V64" s="202" t="str">
        <f ca="1">Sprache!$A$74</f>
        <v>var</v>
      </c>
      <c r="W64" s="200" t="str">
        <f ca="1">Sprache!$A$74</f>
        <v>var</v>
      </c>
      <c r="X64" s="203" t="str">
        <f ca="1">Sprache!$A$70</f>
        <v>соединение с древесиной</v>
      </c>
      <c r="Y64" s="187" t="str">
        <f ca="1">Sprache!$A$136</f>
        <v>nein</v>
      </c>
      <c r="Z64" s="203" t="str">
        <f ca="1">Sprache!$A$106</f>
        <v>Korpus</v>
      </c>
      <c r="AA64" s="203">
        <v>600</v>
      </c>
      <c r="AB64" s="201">
        <v>649</v>
      </c>
      <c r="AC64" s="203"/>
      <c r="AD64" s="204">
        <v>4.0999999999999996</v>
      </c>
      <c r="AE64" s="205">
        <v>12.1</v>
      </c>
      <c r="AF64" s="266" t="str">
        <f>MID(Tabelle2[[#This Row],[bnr full]],1,4)</f>
        <v>F152</v>
      </c>
      <c r="AG64" s="267" t="str">
        <f>MID(Tabelle2[[#This Row],[bnr full]],5,3)</f>
        <v>145</v>
      </c>
      <c r="AH64" s="268" t="str">
        <f>MID(Tabelle2[[#This Row],[bnr full]],8,3)</f>
        <v>240</v>
      </c>
      <c r="AI64" s="267" t="str">
        <f>MID(Tabelle2[[#This Row],[bnr full]],11,3)</f>
        <v>201</v>
      </c>
      <c r="AJ64" s="253" t="str">
        <f>MID(Tabelle2[[#This Row],[bnr full]],11,3)</f>
        <v>201</v>
      </c>
      <c r="AK64" s="206" t="s">
        <v>777</v>
      </c>
      <c r="AL64" s="201" t="str">
        <f ca="1">Sprache!$A$111</f>
        <v>Комплект (Л + П)</v>
      </c>
      <c r="AM64" s="203" t="str">
        <f ca="1">Sprache!$A$116</f>
        <v>Направляющий рычаг, тип 4</v>
      </c>
      <c r="AN64" s="203" t="str">
        <f ca="1">Sprache!$A$121</f>
        <v>Силовой механизм B</v>
      </c>
      <c r="AO64" s="203" t="s">
        <v>25</v>
      </c>
      <c r="AP64" s="203" t="s">
        <v>25</v>
      </c>
      <c r="AQ64" s="203">
        <v>400</v>
      </c>
      <c r="AR64" s="201">
        <v>1200</v>
      </c>
      <c r="AS64" s="187" t="str">
        <f ca="1">CONCATENATE("TIOMOS 120° ",Sprache!$A$98)</f>
        <v>TIOMOS 120° Шарнир</v>
      </c>
      <c r="AT64" s="187" t="str">
        <f ca="1">CONCATENATE("1D° ",Sprache!$A$149)</f>
        <v>1D° Монтажная плита</v>
      </c>
      <c r="AU64"/>
      <c r="AV64"/>
      <c r="AY64"/>
      <c r="AZ64"/>
      <c r="BA64"/>
      <c r="BB64"/>
      <c r="BC64"/>
    </row>
    <row r="65" spans="1:55" x14ac:dyDescent="0.25">
      <c r="A65" s="12" t="str">
        <f ca="1">IF(F65+G65+H65+I65+J65+D65+E65=3,IF(Tabelle2[[#This Row],[Kappe Weiß]]=Limits!$R$29,1,""),"")</f>
        <v/>
      </c>
      <c r="B65" s="12" t="str">
        <f ca="1">IF(G65+H65+I65+J65+E65+F65=2,IF(Tabelle2[[#This Row],[Kappe Weiß]]=Limits!$R$29,1,""),"")</f>
        <v/>
      </c>
      <c r="C65" s="291">
        <v>0</v>
      </c>
      <c r="D65" s="171">
        <f>IF(Limits!$P$3=TRUE,1,0)</f>
        <v>1</v>
      </c>
      <c r="E65" s="172">
        <f>IF(Daten!$P65+Daten!$Q65+Daten!$S65=3,1,0)</f>
        <v>0</v>
      </c>
      <c r="F65" s="173">
        <f ca="1">IF(AND(Limits!$Q$21=TRUE,Daten!O65=1)=TRUE,1,0)</f>
        <v>1</v>
      </c>
      <c r="G65" s="174">
        <f ca="1">IF(AND(Limits!$Q$25=TRUE,Daten!N65=1)=TRUE,1,0)</f>
        <v>0</v>
      </c>
      <c r="H65" s="174">
        <f ca="1">IF(AND(Limits!$Q$24=TRUE,Daten!M65=1)=TRUE,1,0)</f>
        <v>0</v>
      </c>
      <c r="I65" s="174">
        <f ca="1">IF(AND(Limits!$Q$23=TRUE,Daten!L65=1)=TRUE,1,0)</f>
        <v>0</v>
      </c>
      <c r="J65" s="174">
        <f ca="1">IF(AND(Limits!$Q$22=TRUE,Daten!K65=1)=TRUE,1,0)</f>
        <v>0</v>
      </c>
      <c r="K65" s="188">
        <f ca="1">IF(Daten!$V65=13,1,0)</f>
        <v>0</v>
      </c>
      <c r="L65" s="189">
        <f ca="1">IF(Daten!$V65&lt;&gt;Daten!$W65,1,IF(Daten!$V65=14,1,0))</f>
        <v>0</v>
      </c>
      <c r="M65" s="189">
        <f ca="1">IF(Daten!$V65&lt;&gt;Daten!$W65,1,IF(Daten!$V65=16,1,0))</f>
        <v>0</v>
      </c>
      <c r="N65" s="189">
        <f ca="1">IF(Daten!$W65=17,1,0)</f>
        <v>0</v>
      </c>
      <c r="O65" s="190">
        <f ca="1">IF(Daten!$X65=Sprache!$A$70,1,0)</f>
        <v>1</v>
      </c>
      <c r="P65" s="191">
        <f>IF(AND(Daten!$AQ65&lt;=KINVARO!$AW$3,Daten!$AR65&gt;=KINVARO!$AW$3)=TRUE,1,0)</f>
        <v>1</v>
      </c>
      <c r="Q65" s="192">
        <f>IF(AND(Daten!$AA65&lt;=KINVARO!$AW$4,Daten!$AB65&gt;=KINVARO!$AW$4)=TRUE,1,0)</f>
        <v>0</v>
      </c>
      <c r="R65" s="192"/>
      <c r="S65" s="192">
        <f>IF(AND(Daten!$AD65&lt;=Limits!$I$70,Daten!$AE65&gt;=Limits!$I$70)=TRUE,1,0)</f>
        <v>1</v>
      </c>
      <c r="T65" s="193">
        <f ca="1">IF(Daten!$Y65=Sprache!$A$135,1,0)</f>
        <v>0</v>
      </c>
      <c r="U65" s="124" t="str">
        <f ca="1">Sprache!$A$61</f>
        <v>F-20 Складной подъемник</v>
      </c>
      <c r="V65" s="194" t="str">
        <f ca="1">Sprache!$A$74</f>
        <v>var</v>
      </c>
      <c r="W65" s="193" t="str">
        <f ca="1">Sprache!$A$74</f>
        <v>var</v>
      </c>
      <c r="X65" s="187" t="str">
        <f ca="1">Sprache!$A$70</f>
        <v>соединение с древесиной</v>
      </c>
      <c r="Y65" s="187" t="str">
        <f ca="1">Sprache!$A$136</f>
        <v>nein</v>
      </c>
      <c r="Z65" s="187" t="str">
        <f ca="1">Sprache!$A$106</f>
        <v>Korpus</v>
      </c>
      <c r="AA65" s="187">
        <v>600</v>
      </c>
      <c r="AB65" s="124">
        <v>649</v>
      </c>
      <c r="AC65" s="187"/>
      <c r="AD65" s="195">
        <v>6.8</v>
      </c>
      <c r="AE65" s="196">
        <v>15.8</v>
      </c>
      <c r="AF65" s="263" t="str">
        <f>MID(Tabelle2[[#This Row],[bnr full]],1,4)</f>
        <v>F152</v>
      </c>
      <c r="AG65" s="264" t="str">
        <f>MID(Tabelle2[[#This Row],[bnr full]],5,3)</f>
        <v>145</v>
      </c>
      <c r="AH65" s="265" t="str">
        <f>MID(Tabelle2[[#This Row],[bnr full]],8,3)</f>
        <v>241</v>
      </c>
      <c r="AI65" s="264" t="str">
        <f>MID(Tabelle2[[#This Row],[bnr full]],11,3)</f>
        <v>201</v>
      </c>
      <c r="AJ65" s="252" t="str">
        <f>MID(Tabelle2[[#This Row],[bnr full]],11,3)</f>
        <v>201</v>
      </c>
      <c r="AK65" s="197" t="s">
        <v>778</v>
      </c>
      <c r="AL65" s="124" t="str">
        <f ca="1">Sprache!$A$111</f>
        <v>Комплект (Л + П)</v>
      </c>
      <c r="AM65" s="187" t="str">
        <f ca="1">Sprache!$A$116</f>
        <v>Направляющий рычаг, тип 4</v>
      </c>
      <c r="AN65" s="187" t="str">
        <f ca="1">Sprache!$A$122</f>
        <v>Силовой механизм C</v>
      </c>
      <c r="AO65" s="187" t="s">
        <v>25</v>
      </c>
      <c r="AP65" s="187" t="s">
        <v>25</v>
      </c>
      <c r="AQ65" s="187">
        <v>400</v>
      </c>
      <c r="AR65" s="124">
        <v>1200</v>
      </c>
      <c r="AS65" s="187" t="str">
        <f ca="1">CONCATENATE("TIOMOS 120° ",Sprache!$A$98)</f>
        <v>TIOMOS 120° Шарнир</v>
      </c>
      <c r="AT65" s="187" t="str">
        <f ca="1">CONCATENATE("1D° ",Sprache!$A$149)</f>
        <v>1D° Монтажная плита</v>
      </c>
      <c r="AU65"/>
      <c r="AV65"/>
      <c r="AY65"/>
      <c r="AZ65"/>
      <c r="BA65"/>
      <c r="BB65"/>
      <c r="BC65"/>
    </row>
    <row r="66" spans="1:55" x14ac:dyDescent="0.25">
      <c r="A66" s="12" t="str">
        <f ca="1">IF(F66+G66+H66+I66+J66+D66+E66=3,IF(Tabelle2[[#This Row],[Kappe Weiß]]=Limits!$R$29,1,""),"")</f>
        <v/>
      </c>
      <c r="B66" s="12" t="str">
        <f ca="1">IF(G66+H66+I66+J66+E66+F66=2,IF(Tabelle2[[#This Row],[Kappe Weiß]]=Limits!$R$29,1,""),"")</f>
        <v/>
      </c>
      <c r="C66" s="291">
        <v>0</v>
      </c>
      <c r="D66" s="171">
        <f>IF(Limits!$P$3=TRUE,1,0)</f>
        <v>1</v>
      </c>
      <c r="E66" s="172">
        <f>IF(Daten!$P66+Daten!$Q66+Daten!$S66=3,1,0)</f>
        <v>0</v>
      </c>
      <c r="F66" s="173">
        <f ca="1">IF(AND(Limits!$Q$21=TRUE,Daten!O66=1)=TRUE,1,0)</f>
        <v>0</v>
      </c>
      <c r="G66" s="174">
        <f>IF(AND(Limits!$Q$25=TRUE,Daten!N66=1)=TRUE,1,0)</f>
        <v>0</v>
      </c>
      <c r="H66" s="174">
        <f>IF(AND(Limits!$Q$24=TRUE,Daten!M66=1)=TRUE,1,0)</f>
        <v>0</v>
      </c>
      <c r="I66" s="174">
        <f>IF(AND(Limits!$Q$23=TRUE,Daten!L66=1)=TRUE,1,0)</f>
        <v>0</v>
      </c>
      <c r="J66" s="174">
        <f>IF(AND(Limits!$Q$22=TRUE,Daten!K66=1)=TRUE,1,0)</f>
        <v>0</v>
      </c>
      <c r="K66" s="188">
        <f>IF(Daten!$V66=13,1,0)</f>
        <v>1</v>
      </c>
      <c r="L66" s="189">
        <f>IF(Daten!$V66&lt;&gt;Daten!$W66,1,IF(Daten!$V66=14,1,0))</f>
        <v>1</v>
      </c>
      <c r="M66" s="189">
        <f>IF(Daten!$V66&lt;&gt;Daten!$W66,1,IF(Daten!$V66=16,1,0))</f>
        <v>1</v>
      </c>
      <c r="N66" s="189">
        <f>IF(Daten!$W66=17,1,0)</f>
        <v>1</v>
      </c>
      <c r="O66" s="190">
        <f ca="1">IF(Daten!$X66=Sprache!$A$70,1,0)</f>
        <v>0</v>
      </c>
      <c r="P66" s="191">
        <f>IF(AND(Daten!$AQ66&lt;=KINVARO!$AW$3,Daten!$AR66&gt;=KINVARO!$AW$3)=TRUE,1,0)</f>
        <v>1</v>
      </c>
      <c r="Q66" s="192">
        <f>IF(AND(Daten!$AA66&lt;=KINVARO!$AW$4,Daten!$AB66&gt;=KINVARO!$AW$4)=TRUE,1,0)</f>
        <v>0</v>
      </c>
      <c r="R66" s="192"/>
      <c r="S66" s="192">
        <f>IF(AND(Daten!$AD66&lt;=Limits!$I$70,Daten!$AE66&gt;=Limits!$I$70)=TRUE,1,0)</f>
        <v>1</v>
      </c>
      <c r="T66" s="193">
        <f ca="1">IF(Daten!$Y66=Sprache!$A$135,1,0)</f>
        <v>0</v>
      </c>
      <c r="U66" s="124" t="str">
        <f ca="1">Sprache!$A$61</f>
        <v>F-20 Складной подъемник</v>
      </c>
      <c r="V66" s="194">
        <v>13</v>
      </c>
      <c r="W66" s="193">
        <v>17</v>
      </c>
      <c r="X66" s="187" t="str">
        <f ca="1">Sprache!$A$141</f>
        <v>Alu</v>
      </c>
      <c r="Y66" s="187" t="str">
        <f ca="1">Sprache!$A$136</f>
        <v>nein</v>
      </c>
      <c r="Z66" s="187" t="str">
        <f ca="1">Sprache!$A$106</f>
        <v>Korpus</v>
      </c>
      <c r="AA66" s="187">
        <v>600</v>
      </c>
      <c r="AB66" s="124">
        <v>649</v>
      </c>
      <c r="AC66" s="187"/>
      <c r="AD66" s="195">
        <v>4.0999999999999996</v>
      </c>
      <c r="AE66" s="196">
        <v>12.1</v>
      </c>
      <c r="AF66" s="263" t="str">
        <f>MID(Tabelle2[[#This Row],[bnr full]],1,4)</f>
        <v>F152</v>
      </c>
      <c r="AG66" s="264" t="str">
        <f>MID(Tabelle2[[#This Row],[bnr full]],5,3)</f>
        <v>145</v>
      </c>
      <c r="AH66" s="265" t="str">
        <f>MID(Tabelle2[[#This Row],[bnr full]],8,3)</f>
        <v>240</v>
      </c>
      <c r="AI66" s="264" t="str">
        <f>MID(Tabelle2[[#This Row],[bnr full]],11,3)</f>
        <v>201</v>
      </c>
      <c r="AJ66" s="252" t="str">
        <f>MID(Tabelle2[[#This Row],[bnr full]],11,3)</f>
        <v>201</v>
      </c>
      <c r="AK66" s="197" t="s">
        <v>777</v>
      </c>
      <c r="AL66" s="124" t="str">
        <f ca="1">Sprache!$A$111</f>
        <v>Комплект (Л + П)</v>
      </c>
      <c r="AM66" s="187" t="str">
        <f ca="1">Sprache!$A$116</f>
        <v>Направляющий рычаг, тип 4</v>
      </c>
      <c r="AN66" s="187" t="str">
        <f ca="1">Sprache!$A$121</f>
        <v>Силовой механизм B</v>
      </c>
      <c r="AO66" s="187" t="str">
        <f ca="1">Sprache!$A$144</f>
        <v>Адаптер под алюминиевые рамки к комплекту Kinvaro F-20</v>
      </c>
      <c r="AP66" s="187" t="s">
        <v>815</v>
      </c>
      <c r="AQ66" s="187">
        <v>400</v>
      </c>
      <c r="AR66" s="124">
        <v>1200</v>
      </c>
      <c r="AS66" s="187" t="str">
        <f ca="1">CONCATENATE("TIOMOS 110° ",Sprache!$A$150)</f>
        <v>TIOMOS 110° Шарнир для алюминиевой рамки</v>
      </c>
      <c r="AT66" s="187" t="str">
        <f ca="1">CONCATENATE("1D° ",Sprache!$A$149)</f>
        <v>1D° Монтажная плита</v>
      </c>
      <c r="AU66"/>
      <c r="AV66"/>
      <c r="AY66"/>
      <c r="AZ66"/>
      <c r="BA66"/>
      <c r="BB66"/>
      <c r="BC66"/>
    </row>
    <row r="67" spans="1:55" s="5" customFormat="1" x14ac:dyDescent="0.25">
      <c r="A67" s="12" t="str">
        <f ca="1">IF(F67+G67+H67+I67+J67+D67+E67=3,IF(Tabelle2[[#This Row],[Kappe Weiß]]=Limits!$R$29,1,""),"")</f>
        <v/>
      </c>
      <c r="B67" s="12" t="str">
        <f ca="1">IF(G67+H67+I67+J67+E67+F67=2,IF(Tabelle2[[#This Row],[Kappe Weiß]]=Limits!$R$29,1,""),"")</f>
        <v/>
      </c>
      <c r="C67" s="291">
        <v>0</v>
      </c>
      <c r="D67" s="171">
        <f>IF(Limits!$P$3=TRUE,1,0)</f>
        <v>1</v>
      </c>
      <c r="E67" s="172">
        <f>IF(Daten!$P67+Daten!$Q67+Daten!$S67=3,1,0)</f>
        <v>0</v>
      </c>
      <c r="F67" s="173">
        <f ca="1">IF(AND(Limits!$Q$21=TRUE,Daten!O67=1)=TRUE,1,0)</f>
        <v>0</v>
      </c>
      <c r="G67" s="174">
        <f>IF(AND(Limits!$Q$25=TRUE,Daten!N67=1)=TRUE,1,0)</f>
        <v>0</v>
      </c>
      <c r="H67" s="174">
        <f>IF(AND(Limits!$Q$24=TRUE,Daten!M67=1)=TRUE,1,0)</f>
        <v>0</v>
      </c>
      <c r="I67" s="174">
        <f>IF(AND(Limits!$Q$23=TRUE,Daten!L67=1)=TRUE,1,0)</f>
        <v>0</v>
      </c>
      <c r="J67" s="174">
        <f>IF(AND(Limits!$Q$22=TRUE,Daten!K67=1)=TRUE,1,0)</f>
        <v>0</v>
      </c>
      <c r="K67" s="188">
        <f>IF(Daten!$V67=13,1,0)</f>
        <v>1</v>
      </c>
      <c r="L67" s="189">
        <f>IF(Daten!$V67&lt;&gt;Daten!$W67,1,IF(Daten!$V67=14,1,0))</f>
        <v>1</v>
      </c>
      <c r="M67" s="189">
        <f>IF(Daten!$V67&lt;&gt;Daten!$W67,1,IF(Daten!$V67=16,1,0))</f>
        <v>1</v>
      </c>
      <c r="N67" s="189">
        <f>IF(Daten!$W67=17,1,0)</f>
        <v>1</v>
      </c>
      <c r="O67" s="190">
        <f ca="1">IF(Daten!$X67=Sprache!$A$70,1,0)</f>
        <v>0</v>
      </c>
      <c r="P67" s="191">
        <f>IF(AND(Daten!$AQ67&lt;=KINVARO!$AW$3,Daten!$AR67&gt;=KINVARO!$AW$3)=TRUE,1,0)</f>
        <v>1</v>
      </c>
      <c r="Q67" s="192">
        <f>IF(AND(Daten!$AA67&lt;=KINVARO!$AW$4,Daten!$AB67&gt;=KINVARO!$AW$4)=TRUE,1,0)</f>
        <v>0</v>
      </c>
      <c r="R67" s="192"/>
      <c r="S67" s="192">
        <f>IF(AND(Daten!$AD67&lt;=Limits!$I$70,Daten!$AE67&gt;=Limits!$I$70)=TRUE,1,0)</f>
        <v>1</v>
      </c>
      <c r="T67" s="193">
        <f ca="1">IF(Daten!$Y67=Sprache!$A$135,1,0)</f>
        <v>0</v>
      </c>
      <c r="U67" s="124" t="str">
        <f ca="1">Sprache!$A$61</f>
        <v>F-20 Складной подъемник</v>
      </c>
      <c r="V67" s="194">
        <v>13</v>
      </c>
      <c r="W67" s="193">
        <v>17</v>
      </c>
      <c r="X67" s="187" t="str">
        <f ca="1">Sprache!$A$141</f>
        <v>Alu</v>
      </c>
      <c r="Y67" s="187" t="str">
        <f ca="1">Sprache!$A$136</f>
        <v>nein</v>
      </c>
      <c r="Z67" s="187" t="str">
        <f ca="1">Sprache!$A$106</f>
        <v>Korpus</v>
      </c>
      <c r="AA67" s="187">
        <v>600</v>
      </c>
      <c r="AB67" s="124">
        <v>649</v>
      </c>
      <c r="AC67" s="187"/>
      <c r="AD67" s="195">
        <v>6.8</v>
      </c>
      <c r="AE67" s="196">
        <v>15.8</v>
      </c>
      <c r="AF67" s="263" t="str">
        <f>MID(Tabelle2[[#This Row],[bnr full]],1,4)</f>
        <v>F152</v>
      </c>
      <c r="AG67" s="264" t="str">
        <f>MID(Tabelle2[[#This Row],[bnr full]],5,3)</f>
        <v>145</v>
      </c>
      <c r="AH67" s="265" t="str">
        <f>MID(Tabelle2[[#This Row],[bnr full]],8,3)</f>
        <v>241</v>
      </c>
      <c r="AI67" s="264" t="str">
        <f>MID(Tabelle2[[#This Row],[bnr full]],11,3)</f>
        <v>201</v>
      </c>
      <c r="AJ67" s="252" t="str">
        <f>MID(Tabelle2[[#This Row],[bnr full]],11,3)</f>
        <v>201</v>
      </c>
      <c r="AK67" s="197" t="s">
        <v>778</v>
      </c>
      <c r="AL67" s="124" t="str">
        <f ca="1">Sprache!$A$111</f>
        <v>Комплект (Л + П)</v>
      </c>
      <c r="AM67" s="187" t="str">
        <f ca="1">Sprache!$A$116</f>
        <v>Направляющий рычаг, тип 4</v>
      </c>
      <c r="AN67" s="187" t="str">
        <f ca="1">Sprache!$A$122</f>
        <v>Силовой механизм C</v>
      </c>
      <c r="AO67" s="187" t="str">
        <f ca="1">Sprache!$A$144</f>
        <v>Адаптер под алюминиевые рамки к комплекту Kinvaro F-20</v>
      </c>
      <c r="AP67" s="187" t="s">
        <v>815</v>
      </c>
      <c r="AQ67" s="187">
        <v>400</v>
      </c>
      <c r="AR67" s="124">
        <v>1200</v>
      </c>
      <c r="AS67" s="187" t="str">
        <f ca="1">CONCATENATE("TIOMOS 110° ",Sprache!$A$150)</f>
        <v>TIOMOS 110° Шарнир для алюминиевой рамки</v>
      </c>
      <c r="AT67" s="187" t="str">
        <f ca="1">CONCATENATE("1D° ",Sprache!$A$149)</f>
        <v>1D° Монтажная плита</v>
      </c>
    </row>
    <row r="68" spans="1:55" x14ac:dyDescent="0.25">
      <c r="A68" s="12" t="str">
        <f ca="1">IF(F68+G68+H68+I68+J68+D68+E68=3,IF(Tabelle2[[#This Row],[Kappe Weiß]]=Limits!$R$29,1,""),"")</f>
        <v/>
      </c>
      <c r="B68" s="12" t="str">
        <f ca="1">IF(G68+H68+I68+J68+E68+F68=2,IF(Tabelle2[[#This Row],[Kappe Weiß]]=Limits!$R$29,1,""),"")</f>
        <v/>
      </c>
      <c r="C68" s="292">
        <v>0</v>
      </c>
      <c r="D68" s="171">
        <f>IF(Limits!$P$3=TRUE,1,0)</f>
        <v>1</v>
      </c>
      <c r="E68" s="172">
        <f>IF(Daten!$P68+Daten!$Q68+Daten!$S68=3,1,0)</f>
        <v>0</v>
      </c>
      <c r="F68" s="173">
        <f ca="1">IF(AND(Limits!$Q$21=TRUE,Daten!O68=1)=TRUE,1,0)</f>
        <v>1</v>
      </c>
      <c r="G68" s="174">
        <f ca="1">IF(AND(Limits!$Q$25=TRUE,Daten!N68=1)=TRUE,1,0)</f>
        <v>0</v>
      </c>
      <c r="H68" s="174">
        <f ca="1">IF(AND(Limits!$Q$24=TRUE,Daten!M68=1)=TRUE,1,0)</f>
        <v>0</v>
      </c>
      <c r="I68" s="174">
        <f ca="1">IF(AND(Limits!$Q$23=TRUE,Daten!L68=1)=TRUE,1,0)</f>
        <v>0</v>
      </c>
      <c r="J68" s="174">
        <f ca="1">IF(AND(Limits!$Q$22=TRUE,Daten!K68=1)=TRUE,1,0)</f>
        <v>0</v>
      </c>
      <c r="K68" s="188">
        <f ca="1">IF(Daten!$V68=13,1,0)</f>
        <v>0</v>
      </c>
      <c r="L68" s="189">
        <f ca="1">IF(Daten!$V68&lt;&gt;Daten!$W68,1,IF(Daten!$V68=14,1,0))</f>
        <v>0</v>
      </c>
      <c r="M68" s="189">
        <f ca="1">IF(Daten!$V68&lt;&gt;Daten!$W68,1,IF(Daten!$V68=16,1,0))</f>
        <v>0</v>
      </c>
      <c r="N68" s="189">
        <f ca="1">IF(Daten!$W68=17,1,0)</f>
        <v>0</v>
      </c>
      <c r="O68" s="190">
        <f ca="1">IF(Daten!$X68=Sprache!$A$70,1,0)</f>
        <v>1</v>
      </c>
      <c r="P68" s="198">
        <f>IF(AND(Daten!$AQ68&lt;=KINVARO!$AW$3,Daten!$AR68&gt;=KINVARO!$AW$3)=TRUE,1,0)</f>
        <v>1</v>
      </c>
      <c r="Q68" s="199">
        <f>IF(AND(Daten!$AA68&lt;=KINVARO!$AW$4,Daten!$AB68&gt;=KINVARO!$AW$4)=TRUE,1,0)</f>
        <v>0</v>
      </c>
      <c r="R68" s="199"/>
      <c r="S68" s="199">
        <f>IF(AND(Daten!$AD68&lt;=Limits!$I$70,Daten!$AE68&gt;=Limits!$I$70)=TRUE,1,0)</f>
        <v>1</v>
      </c>
      <c r="T68" s="200">
        <f ca="1">IF(Daten!$Y68=Sprache!$A$135,1,0)</f>
        <v>0</v>
      </c>
      <c r="U68" s="201" t="str">
        <f ca="1">Sprache!$A$61</f>
        <v>F-20 Складной подъемник</v>
      </c>
      <c r="V68" s="202" t="str">
        <f ca="1">Sprache!$A$74</f>
        <v>var</v>
      </c>
      <c r="W68" s="200" t="str">
        <f ca="1">Sprache!$A$74</f>
        <v>var</v>
      </c>
      <c r="X68" s="203" t="str">
        <f ca="1">Sprache!$A$70</f>
        <v>соединение с древесиной</v>
      </c>
      <c r="Y68" s="187" t="str">
        <f ca="1">Sprache!$A$136</f>
        <v>nein</v>
      </c>
      <c r="Z68" s="203" t="str">
        <f ca="1">Sprache!$A$106</f>
        <v>Korpus</v>
      </c>
      <c r="AA68" s="203">
        <v>650</v>
      </c>
      <c r="AB68" s="201">
        <v>699</v>
      </c>
      <c r="AC68" s="203"/>
      <c r="AD68" s="204">
        <v>3.8</v>
      </c>
      <c r="AE68" s="205">
        <v>11.4</v>
      </c>
      <c r="AF68" s="266" t="str">
        <f>MID(Tabelle2[[#This Row],[bnr full]],1,4)</f>
        <v>F152</v>
      </c>
      <c r="AG68" s="267" t="str">
        <f>MID(Tabelle2[[#This Row],[bnr full]],5,3)</f>
        <v>145</v>
      </c>
      <c r="AH68" s="268" t="str">
        <f>MID(Tabelle2[[#This Row],[bnr full]],8,3)</f>
        <v>242</v>
      </c>
      <c r="AI68" s="267" t="str">
        <f>MID(Tabelle2[[#This Row],[bnr full]],11,3)</f>
        <v>201</v>
      </c>
      <c r="AJ68" s="253" t="str">
        <f>MID(Tabelle2[[#This Row],[bnr full]],11,3)</f>
        <v>201</v>
      </c>
      <c r="AK68" s="206" t="s">
        <v>779</v>
      </c>
      <c r="AL68" s="201" t="str">
        <f ca="1">Sprache!$A$111</f>
        <v>Комплект (Л + П)</v>
      </c>
      <c r="AM68" s="203" t="str">
        <f ca="1">Sprache!$A$117</f>
        <v>Направляющий рычаг, тип 5</v>
      </c>
      <c r="AN68" s="203" t="str">
        <f ca="1">Sprache!$A$121</f>
        <v>Силовой механизм B</v>
      </c>
      <c r="AO68" s="203" t="s">
        <v>25</v>
      </c>
      <c r="AP68" s="203" t="s">
        <v>25</v>
      </c>
      <c r="AQ68" s="203">
        <v>400</v>
      </c>
      <c r="AR68" s="201">
        <v>1200</v>
      </c>
      <c r="AS68" s="187" t="str">
        <f ca="1">CONCATENATE("TIOMOS 120° ",Sprache!$A$98)</f>
        <v>TIOMOS 120° Шарнир</v>
      </c>
      <c r="AT68" s="187" t="str">
        <f ca="1">CONCATENATE("1D° ",Sprache!$A$149)</f>
        <v>1D° Монтажная плита</v>
      </c>
      <c r="AU68"/>
      <c r="AV68"/>
      <c r="AY68"/>
      <c r="AZ68"/>
      <c r="BA68"/>
      <c r="BB68"/>
      <c r="BC68"/>
    </row>
    <row r="69" spans="1:55" x14ac:dyDescent="0.25">
      <c r="A69" s="12" t="str">
        <f ca="1">IF(F69+G69+H69+I69+J69+D69+E69=3,IF(Tabelle2[[#This Row],[Kappe Weiß]]=Limits!$R$29,1,""),"")</f>
        <v/>
      </c>
      <c r="B69" s="12" t="str">
        <f ca="1">IF(G69+H69+I69+J69+E69+F69=2,IF(Tabelle2[[#This Row],[Kappe Weiß]]=Limits!$R$29,1,""),"")</f>
        <v/>
      </c>
      <c r="C69" s="291">
        <v>0</v>
      </c>
      <c r="D69" s="171">
        <f>IF(Limits!$P$3=TRUE,1,0)</f>
        <v>1</v>
      </c>
      <c r="E69" s="172">
        <f>IF(Daten!$P69+Daten!$Q69+Daten!$S69=3,1,0)</f>
        <v>0</v>
      </c>
      <c r="F69" s="173">
        <f ca="1">IF(AND(Limits!$Q$21=TRUE,Daten!O69=1)=TRUE,1,0)</f>
        <v>1</v>
      </c>
      <c r="G69" s="174">
        <f ca="1">IF(AND(Limits!$Q$25=TRUE,Daten!N69=1)=TRUE,1,0)</f>
        <v>0</v>
      </c>
      <c r="H69" s="174">
        <f ca="1">IF(AND(Limits!$Q$24=TRUE,Daten!M69=1)=TRUE,1,0)</f>
        <v>0</v>
      </c>
      <c r="I69" s="174">
        <f ca="1">IF(AND(Limits!$Q$23=TRUE,Daten!L69=1)=TRUE,1,0)</f>
        <v>0</v>
      </c>
      <c r="J69" s="174">
        <f ca="1">IF(AND(Limits!$Q$22=TRUE,Daten!K69=1)=TRUE,1,0)</f>
        <v>0</v>
      </c>
      <c r="K69" s="188">
        <f ca="1">IF(Daten!$V69=13,1,0)</f>
        <v>0</v>
      </c>
      <c r="L69" s="189">
        <f ca="1">IF(Daten!$V69&lt;&gt;Daten!$W69,1,IF(Daten!$V69=14,1,0))</f>
        <v>0</v>
      </c>
      <c r="M69" s="189">
        <f ca="1">IF(Daten!$V69&lt;&gt;Daten!$W69,1,IF(Daten!$V69=16,1,0))</f>
        <v>0</v>
      </c>
      <c r="N69" s="189">
        <f ca="1">IF(Daten!$W69=17,1,0)</f>
        <v>0</v>
      </c>
      <c r="O69" s="190">
        <f ca="1">IF(Daten!$X69=Sprache!$A$70,1,0)</f>
        <v>1</v>
      </c>
      <c r="P69" s="191">
        <f>IF(AND(Daten!$AQ69&lt;=KINVARO!$AW$3,Daten!$AR69&gt;=KINVARO!$AW$3)=TRUE,1,0)</f>
        <v>1</v>
      </c>
      <c r="Q69" s="192">
        <f>IF(AND(Daten!$AA69&lt;=KINVARO!$AW$4,Daten!$AB69&gt;=KINVARO!$AW$4)=TRUE,1,0)</f>
        <v>0</v>
      </c>
      <c r="R69" s="192"/>
      <c r="S69" s="192">
        <f>IF(AND(Daten!$AD69&lt;=Limits!$I$70,Daten!$AE69&gt;=Limits!$I$70)=TRUE,1,0)</f>
        <v>1</v>
      </c>
      <c r="T69" s="193">
        <f ca="1">IF(Daten!$Y69=Sprache!$A$135,1,0)</f>
        <v>0</v>
      </c>
      <c r="U69" s="124" t="str">
        <f ca="1">Sprache!$A$61</f>
        <v>F-20 Складной подъемник</v>
      </c>
      <c r="V69" s="194" t="str">
        <f ca="1">Sprache!$A$74</f>
        <v>var</v>
      </c>
      <c r="W69" s="193" t="str">
        <f ca="1">Sprache!$A$74</f>
        <v>var</v>
      </c>
      <c r="X69" s="187" t="str">
        <f ca="1">Sprache!$A$70</f>
        <v>соединение с древесиной</v>
      </c>
      <c r="Y69" s="187" t="str">
        <f ca="1">Sprache!$A$136</f>
        <v>nein</v>
      </c>
      <c r="Z69" s="187" t="str">
        <f ca="1">Sprache!$A$106</f>
        <v>Korpus</v>
      </c>
      <c r="AA69" s="187">
        <v>650</v>
      </c>
      <c r="AB69" s="124">
        <v>699</v>
      </c>
      <c r="AC69" s="187"/>
      <c r="AD69" s="195">
        <v>6.7</v>
      </c>
      <c r="AE69" s="196">
        <v>16.899999999999999</v>
      </c>
      <c r="AF69" s="263" t="str">
        <f>MID(Tabelle2[[#This Row],[bnr full]],1,4)</f>
        <v>F152</v>
      </c>
      <c r="AG69" s="264" t="str">
        <f>MID(Tabelle2[[#This Row],[bnr full]],5,3)</f>
        <v>145</v>
      </c>
      <c r="AH69" s="265" t="str">
        <f>MID(Tabelle2[[#This Row],[bnr full]],8,3)</f>
        <v>243</v>
      </c>
      <c r="AI69" s="264" t="str">
        <f>MID(Tabelle2[[#This Row],[bnr full]],11,3)</f>
        <v>201</v>
      </c>
      <c r="AJ69" s="252" t="str">
        <f>MID(Tabelle2[[#This Row],[bnr full]],11,3)</f>
        <v>201</v>
      </c>
      <c r="AK69" s="197" t="s">
        <v>780</v>
      </c>
      <c r="AL69" s="124" t="str">
        <f ca="1">Sprache!$A$111</f>
        <v>Комплект (Л + П)</v>
      </c>
      <c r="AM69" s="187" t="str">
        <f ca="1">Sprache!$A$117</f>
        <v>Направляющий рычаг, тип 5</v>
      </c>
      <c r="AN69" s="187" t="str">
        <f ca="1">Sprache!$A$122</f>
        <v>Силовой механизм C</v>
      </c>
      <c r="AO69" s="187" t="s">
        <v>25</v>
      </c>
      <c r="AP69" s="187" t="s">
        <v>25</v>
      </c>
      <c r="AQ69" s="187">
        <v>400</v>
      </c>
      <c r="AR69" s="124">
        <v>1200</v>
      </c>
      <c r="AS69" s="187" t="str">
        <f ca="1">CONCATENATE("TIOMOS 120° ",Sprache!$A$98)</f>
        <v>TIOMOS 120° Шарнир</v>
      </c>
      <c r="AT69" s="187" t="str">
        <f ca="1">CONCATENATE("1D° ",Sprache!$A$149)</f>
        <v>1D° Монтажная плита</v>
      </c>
      <c r="AU69"/>
      <c r="AV69"/>
      <c r="AY69"/>
      <c r="AZ69"/>
      <c r="BA69"/>
      <c r="BB69"/>
      <c r="BC69"/>
    </row>
    <row r="70" spans="1:55" x14ac:dyDescent="0.25">
      <c r="A70" s="12" t="str">
        <f ca="1">IF(F70+G70+H70+I70+J70+D70+E70=3,IF(Tabelle2[[#This Row],[Kappe Weiß]]=Limits!$R$29,1,""),"")</f>
        <v/>
      </c>
      <c r="B70" s="12" t="str">
        <f ca="1">IF(G70+H70+I70+J70+E70+F70=2,IF(Tabelle2[[#This Row],[Kappe Weiß]]=Limits!$R$29,1,""),"")</f>
        <v/>
      </c>
      <c r="C70" s="291">
        <v>0</v>
      </c>
      <c r="D70" s="171">
        <f>IF(Limits!$P$3=TRUE,1,0)</f>
        <v>1</v>
      </c>
      <c r="E70" s="172">
        <f>IF(Daten!$P70+Daten!$Q70+Daten!$S70=3,1,0)</f>
        <v>0</v>
      </c>
      <c r="F70" s="173">
        <f ca="1">IF(AND(Limits!$Q$21=TRUE,Daten!O70=1)=TRUE,1,0)</f>
        <v>0</v>
      </c>
      <c r="G70" s="174">
        <f>IF(AND(Limits!$Q$25=TRUE,Daten!N70=1)=TRUE,1,0)</f>
        <v>0</v>
      </c>
      <c r="H70" s="174">
        <f>IF(AND(Limits!$Q$24=TRUE,Daten!M70=1)=TRUE,1,0)</f>
        <v>0</v>
      </c>
      <c r="I70" s="174">
        <f>IF(AND(Limits!$Q$23=TRUE,Daten!L70=1)=TRUE,1,0)</f>
        <v>0</v>
      </c>
      <c r="J70" s="174">
        <f>IF(AND(Limits!$Q$22=TRUE,Daten!K70=1)=TRUE,1,0)</f>
        <v>0</v>
      </c>
      <c r="K70" s="188">
        <f>IF(Daten!$V70=13,1,0)</f>
        <v>1</v>
      </c>
      <c r="L70" s="189">
        <f>IF(Daten!$V70&lt;&gt;Daten!$W70,1,IF(Daten!$V70=14,1,0))</f>
        <v>1</v>
      </c>
      <c r="M70" s="189">
        <f>IF(Daten!$V70&lt;&gt;Daten!$W70,1,IF(Daten!$V70=16,1,0))</f>
        <v>1</v>
      </c>
      <c r="N70" s="189">
        <f>IF(Daten!$W70=17,1,0)</f>
        <v>1</v>
      </c>
      <c r="O70" s="190">
        <f ca="1">IF(Daten!$X70=Sprache!$A$70,1,0)</f>
        <v>0</v>
      </c>
      <c r="P70" s="191">
        <f>IF(AND(Daten!$AQ70&lt;=KINVARO!$AW$3,Daten!$AR70&gt;=KINVARO!$AW$3)=TRUE,1,0)</f>
        <v>1</v>
      </c>
      <c r="Q70" s="192">
        <f>IF(AND(Daten!$AA70&lt;=KINVARO!$AW$4,Daten!$AB70&gt;=KINVARO!$AW$4)=TRUE,1,0)</f>
        <v>0</v>
      </c>
      <c r="R70" s="192"/>
      <c r="S70" s="192">
        <f>IF(AND(Daten!$AD70&lt;=Limits!$I$70,Daten!$AE70&gt;=Limits!$I$70)=TRUE,1,0)</f>
        <v>1</v>
      </c>
      <c r="T70" s="193">
        <f ca="1">IF(Daten!$Y70=Sprache!$A$135,1,0)</f>
        <v>0</v>
      </c>
      <c r="U70" s="124" t="str">
        <f ca="1">Sprache!$A$61</f>
        <v>F-20 Складной подъемник</v>
      </c>
      <c r="V70" s="194">
        <v>13</v>
      </c>
      <c r="W70" s="193">
        <v>17</v>
      </c>
      <c r="X70" s="187" t="str">
        <f ca="1">Sprache!$A$141</f>
        <v>Alu</v>
      </c>
      <c r="Y70" s="187" t="str">
        <f ca="1">Sprache!$A$136</f>
        <v>nein</v>
      </c>
      <c r="Z70" s="187" t="str">
        <f ca="1">Sprache!$A$106</f>
        <v>Korpus</v>
      </c>
      <c r="AA70" s="187">
        <v>650</v>
      </c>
      <c r="AB70" s="124">
        <v>699</v>
      </c>
      <c r="AC70" s="187"/>
      <c r="AD70" s="195">
        <v>3.8</v>
      </c>
      <c r="AE70" s="196">
        <v>11.4</v>
      </c>
      <c r="AF70" s="263" t="str">
        <f>MID(Tabelle2[[#This Row],[bnr full]],1,4)</f>
        <v>F152</v>
      </c>
      <c r="AG70" s="264" t="str">
        <f>MID(Tabelle2[[#This Row],[bnr full]],5,3)</f>
        <v>145</v>
      </c>
      <c r="AH70" s="265" t="str">
        <f>MID(Tabelle2[[#This Row],[bnr full]],8,3)</f>
        <v>242</v>
      </c>
      <c r="AI70" s="264" t="str">
        <f>MID(Tabelle2[[#This Row],[bnr full]],11,3)</f>
        <v>201</v>
      </c>
      <c r="AJ70" s="252" t="str">
        <f>MID(Tabelle2[[#This Row],[bnr full]],11,3)</f>
        <v>201</v>
      </c>
      <c r="AK70" s="197" t="s">
        <v>779</v>
      </c>
      <c r="AL70" s="124" t="str">
        <f ca="1">Sprache!$A$111</f>
        <v>Комплект (Л + П)</v>
      </c>
      <c r="AM70" s="187" t="str">
        <f ca="1">Sprache!$A$117</f>
        <v>Направляющий рычаг, тип 5</v>
      </c>
      <c r="AN70" s="187" t="str">
        <f ca="1">Sprache!$A$121</f>
        <v>Силовой механизм B</v>
      </c>
      <c r="AO70" s="187" t="str">
        <f ca="1">Sprache!$A$144</f>
        <v>Адаптер под алюминиевые рамки к комплекту Kinvaro F-20</v>
      </c>
      <c r="AP70" s="187" t="s">
        <v>815</v>
      </c>
      <c r="AQ70" s="187">
        <v>400</v>
      </c>
      <c r="AR70" s="124">
        <v>1200</v>
      </c>
      <c r="AS70" s="187" t="str">
        <f ca="1">CONCATENATE("TIOMOS 110° ",Sprache!$A$150)</f>
        <v>TIOMOS 110° Шарнир для алюминиевой рамки</v>
      </c>
      <c r="AT70" s="187" t="str">
        <f ca="1">CONCATENATE("1D° ",Sprache!$A$149)</f>
        <v>1D° Монтажная плита</v>
      </c>
      <c r="AU70"/>
      <c r="AV70"/>
      <c r="AY70"/>
      <c r="AZ70"/>
      <c r="BA70"/>
      <c r="BB70"/>
      <c r="BC70"/>
    </row>
    <row r="71" spans="1:55" x14ac:dyDescent="0.25">
      <c r="A71" s="12" t="str">
        <f ca="1">IF(F71+G71+H71+I71+J71+D71+E71=3,IF(Tabelle2[[#This Row],[Kappe Weiß]]=Limits!$R$29,1,""),"")</f>
        <v/>
      </c>
      <c r="B71" s="12" t="str">
        <f ca="1">IF(G71+H71+I71+J71+E71+F71=2,IF(Tabelle2[[#This Row],[Kappe Weiß]]=Limits!$R$29,1,""),"")</f>
        <v/>
      </c>
      <c r="C71" s="291">
        <v>0</v>
      </c>
      <c r="D71" s="171">
        <f>IF(Limits!$P$3=TRUE,1,0)</f>
        <v>1</v>
      </c>
      <c r="E71" s="172">
        <f>IF(Daten!$P71+Daten!$Q71+Daten!$S71=3,1,0)</f>
        <v>0</v>
      </c>
      <c r="F71" s="173">
        <f ca="1">IF(AND(Limits!$Q$21=TRUE,Daten!O71=1)=TRUE,1,0)</f>
        <v>0</v>
      </c>
      <c r="G71" s="174">
        <f>IF(AND(Limits!$Q$25=TRUE,Daten!N71=1)=TRUE,1,0)</f>
        <v>0</v>
      </c>
      <c r="H71" s="174">
        <f>IF(AND(Limits!$Q$24=TRUE,Daten!M71=1)=TRUE,1,0)</f>
        <v>0</v>
      </c>
      <c r="I71" s="174">
        <f>IF(AND(Limits!$Q$23=TRUE,Daten!L71=1)=TRUE,1,0)</f>
        <v>0</v>
      </c>
      <c r="J71" s="174">
        <f>IF(AND(Limits!$Q$22=TRUE,Daten!K71=1)=TRUE,1,0)</f>
        <v>0</v>
      </c>
      <c r="K71" s="188">
        <f>IF(Daten!$V71=13,1,0)</f>
        <v>1</v>
      </c>
      <c r="L71" s="189">
        <f>IF(Daten!$V71&lt;&gt;Daten!$W71,1,IF(Daten!$V71=14,1,0))</f>
        <v>1</v>
      </c>
      <c r="M71" s="189">
        <f>IF(Daten!$V71&lt;&gt;Daten!$W71,1,IF(Daten!$V71=16,1,0))</f>
        <v>1</v>
      </c>
      <c r="N71" s="189">
        <f>IF(Daten!$W71=17,1,0)</f>
        <v>1</v>
      </c>
      <c r="O71" s="190">
        <f ca="1">IF(Daten!$X71=Sprache!$A$70,1,0)</f>
        <v>0</v>
      </c>
      <c r="P71" s="191">
        <f>IF(AND(Daten!$AQ71&lt;=KINVARO!$AW$3,Daten!$AR71&gt;=KINVARO!$AW$3)=TRUE,1,0)</f>
        <v>1</v>
      </c>
      <c r="Q71" s="192">
        <f>IF(AND(Daten!$AA71&lt;=KINVARO!$AW$4,Daten!$AB71&gt;=KINVARO!$AW$4)=TRUE,1,0)</f>
        <v>0</v>
      </c>
      <c r="R71" s="192"/>
      <c r="S71" s="192">
        <f>IF(AND(Daten!$AD71&lt;=Limits!$I$70,Daten!$AE71&gt;=Limits!$I$70)=TRUE,1,0)</f>
        <v>1</v>
      </c>
      <c r="T71" s="193">
        <f ca="1">IF(Daten!$Y71=Sprache!$A$135,1,0)</f>
        <v>0</v>
      </c>
      <c r="U71" s="124" t="str">
        <f ca="1">Sprache!$A$61</f>
        <v>F-20 Складной подъемник</v>
      </c>
      <c r="V71" s="194">
        <v>13</v>
      </c>
      <c r="W71" s="193">
        <v>17</v>
      </c>
      <c r="X71" s="187" t="str">
        <f ca="1">Sprache!$A$141</f>
        <v>Alu</v>
      </c>
      <c r="Y71" s="187" t="str">
        <f ca="1">Sprache!$A$136</f>
        <v>nein</v>
      </c>
      <c r="Z71" s="187" t="str">
        <f ca="1">Sprache!$A$106</f>
        <v>Korpus</v>
      </c>
      <c r="AA71" s="187">
        <v>650</v>
      </c>
      <c r="AB71" s="124">
        <v>699</v>
      </c>
      <c r="AC71" s="187"/>
      <c r="AD71" s="195">
        <v>6.7</v>
      </c>
      <c r="AE71" s="196">
        <v>16.899999999999999</v>
      </c>
      <c r="AF71" s="263" t="str">
        <f>MID(Tabelle2[[#This Row],[bnr full]],1,4)</f>
        <v>F152</v>
      </c>
      <c r="AG71" s="264" t="str">
        <f>MID(Tabelle2[[#This Row],[bnr full]],5,3)</f>
        <v>145</v>
      </c>
      <c r="AH71" s="265" t="str">
        <f>MID(Tabelle2[[#This Row],[bnr full]],8,3)</f>
        <v>243</v>
      </c>
      <c r="AI71" s="264" t="str">
        <f>MID(Tabelle2[[#This Row],[bnr full]],11,3)</f>
        <v>201</v>
      </c>
      <c r="AJ71" s="252" t="str">
        <f>MID(Tabelle2[[#This Row],[bnr full]],11,3)</f>
        <v>201</v>
      </c>
      <c r="AK71" s="197" t="s">
        <v>780</v>
      </c>
      <c r="AL71" s="124" t="str">
        <f ca="1">Sprache!$A$111</f>
        <v>Комплект (Л + П)</v>
      </c>
      <c r="AM71" s="187" t="str">
        <f ca="1">Sprache!$A$117</f>
        <v>Направляющий рычаг, тип 5</v>
      </c>
      <c r="AN71" s="187" t="str">
        <f ca="1">Sprache!$A$122</f>
        <v>Силовой механизм C</v>
      </c>
      <c r="AO71" s="187" t="str">
        <f ca="1">Sprache!$A$144</f>
        <v>Адаптер под алюминиевые рамки к комплекту Kinvaro F-20</v>
      </c>
      <c r="AP71" s="187" t="s">
        <v>815</v>
      </c>
      <c r="AQ71" s="187">
        <v>400</v>
      </c>
      <c r="AR71" s="124">
        <v>1200</v>
      </c>
      <c r="AS71" s="187" t="str">
        <f ca="1">CONCATENATE("TIOMOS 110° ",Sprache!$A$150)</f>
        <v>TIOMOS 110° Шарнир для алюминиевой рамки</v>
      </c>
      <c r="AT71" s="187" t="str">
        <f ca="1">CONCATENATE("1D° ",Sprache!$A$149)</f>
        <v>1D° Монтажная плита</v>
      </c>
      <c r="AU71"/>
      <c r="AV71"/>
      <c r="AY71"/>
      <c r="AZ71"/>
      <c r="BA71"/>
      <c r="BB71"/>
      <c r="BC71"/>
    </row>
    <row r="72" spans="1:55" x14ac:dyDescent="0.25">
      <c r="A72" s="12" t="str">
        <f ca="1">IF(F72+G72+H72+I72+J72+D72+E72=3,IF(Tabelle2[[#This Row],[Kappe Weiß]]=Limits!$R$29,1,""),"")</f>
        <v/>
      </c>
      <c r="B72" s="12" t="str">
        <f ca="1">IF(G72+H72+I72+J72+E72+F72=2,IF(Tabelle2[[#This Row],[Kappe Weiß]]=Limits!$R$29,1,""),"")</f>
        <v/>
      </c>
      <c r="C72" s="292">
        <v>0</v>
      </c>
      <c r="D72" s="171">
        <f>IF(Limits!$P$3=TRUE,1,0)</f>
        <v>1</v>
      </c>
      <c r="E72" s="172">
        <f>IF(Daten!$P72+Daten!$Q72+Daten!$S72=3,1,0)</f>
        <v>0</v>
      </c>
      <c r="F72" s="173">
        <f ca="1">IF(AND(Limits!$Q$21=TRUE,Daten!O72=1)=TRUE,1,0)</f>
        <v>1</v>
      </c>
      <c r="G72" s="174">
        <f ca="1">IF(AND(Limits!$Q$25=TRUE,Daten!N72=1)=TRUE,1,0)</f>
        <v>0</v>
      </c>
      <c r="H72" s="174">
        <f ca="1">IF(AND(Limits!$Q$24=TRUE,Daten!M72=1)=TRUE,1,0)</f>
        <v>0</v>
      </c>
      <c r="I72" s="174">
        <f ca="1">IF(AND(Limits!$Q$23=TRUE,Daten!L72=1)=TRUE,1,0)</f>
        <v>0</v>
      </c>
      <c r="J72" s="174">
        <f ca="1">IF(AND(Limits!$Q$22=TRUE,Daten!K72=1)=TRUE,1,0)</f>
        <v>0</v>
      </c>
      <c r="K72" s="188">
        <f ca="1">IF(Daten!$V72=13,1,0)</f>
        <v>0</v>
      </c>
      <c r="L72" s="189">
        <f ca="1">IF(Daten!$V72&lt;&gt;Daten!$W72,1,IF(Daten!$V72=14,1,0))</f>
        <v>0</v>
      </c>
      <c r="M72" s="189">
        <f ca="1">IF(Daten!$V72&lt;&gt;Daten!$W72,1,IF(Daten!$V72=16,1,0))</f>
        <v>0</v>
      </c>
      <c r="N72" s="189">
        <f ca="1">IF(Daten!$W72=17,1,0)</f>
        <v>0</v>
      </c>
      <c r="O72" s="190">
        <f ca="1">IF(Daten!$X72=Sprache!$A$70,1,0)</f>
        <v>1</v>
      </c>
      <c r="P72" s="198">
        <f>IF(AND(Daten!$AQ72&lt;=KINVARO!$AW$3,Daten!$AR72&gt;=KINVARO!$AW$3)=TRUE,1,0)</f>
        <v>1</v>
      </c>
      <c r="Q72" s="199">
        <f>IF(AND(Daten!$AA72&lt;=KINVARO!$AW$4,Daten!$AB72&gt;=KINVARO!$AW$4)=TRUE,1,0)</f>
        <v>0</v>
      </c>
      <c r="R72" s="199"/>
      <c r="S72" s="199">
        <f>IF(AND(Daten!$AD72&lt;=Limits!$I$70,Daten!$AE72&gt;=Limits!$I$70)=TRUE,1,0)</f>
        <v>1</v>
      </c>
      <c r="T72" s="200">
        <f ca="1">IF(Daten!$Y72=Sprache!$A$135,1,0)</f>
        <v>0</v>
      </c>
      <c r="U72" s="201" t="str">
        <f ca="1">Sprache!$A$61</f>
        <v>F-20 Складной подъемник</v>
      </c>
      <c r="V72" s="202" t="str">
        <f ca="1">Sprache!$A$74</f>
        <v>var</v>
      </c>
      <c r="W72" s="200" t="str">
        <f ca="1">Sprache!$A$74</f>
        <v>var</v>
      </c>
      <c r="X72" s="203" t="str">
        <f ca="1">Sprache!$A$70</f>
        <v>соединение с древесиной</v>
      </c>
      <c r="Y72" s="187" t="str">
        <f ca="1">Sprache!$A$136</f>
        <v>nein</v>
      </c>
      <c r="Z72" s="203" t="str">
        <f ca="1">Sprache!$A$106</f>
        <v>Korpus</v>
      </c>
      <c r="AA72" s="203">
        <v>700</v>
      </c>
      <c r="AB72" s="201">
        <v>749</v>
      </c>
      <c r="AC72" s="203"/>
      <c r="AD72" s="204">
        <v>6.5</v>
      </c>
      <c r="AE72" s="205">
        <v>16.399999999999999</v>
      </c>
      <c r="AF72" s="266" t="str">
        <f>MID(Tabelle2[[#This Row],[bnr full]],1,4)</f>
        <v>F152</v>
      </c>
      <c r="AG72" s="267" t="str">
        <f>MID(Tabelle2[[#This Row],[bnr full]],5,3)</f>
        <v>145</v>
      </c>
      <c r="AH72" s="268" t="str">
        <f>MID(Tabelle2[[#This Row],[bnr full]],8,3)</f>
        <v>244</v>
      </c>
      <c r="AI72" s="267" t="str">
        <f>MID(Tabelle2[[#This Row],[bnr full]],11,3)</f>
        <v>201</v>
      </c>
      <c r="AJ72" s="253" t="str">
        <f>MID(Tabelle2[[#This Row],[bnr full]],11,3)</f>
        <v>201</v>
      </c>
      <c r="AK72" s="206" t="s">
        <v>781</v>
      </c>
      <c r="AL72" s="201" t="str">
        <f ca="1">Sprache!$A$111</f>
        <v>Комплект (Л + П)</v>
      </c>
      <c r="AM72" s="203" t="str">
        <f ca="1">Sprache!$A$118</f>
        <v>Направляющий рычаг, тип 6</v>
      </c>
      <c r="AN72" s="203" t="str">
        <f ca="1">Sprache!$A$122</f>
        <v>Силовой механизм C</v>
      </c>
      <c r="AO72" s="203" t="s">
        <v>25</v>
      </c>
      <c r="AP72" s="203" t="s">
        <v>25</v>
      </c>
      <c r="AQ72" s="203">
        <v>400</v>
      </c>
      <c r="AR72" s="201">
        <v>1200</v>
      </c>
      <c r="AS72" s="187" t="str">
        <f ca="1">CONCATENATE("TIOMOS 120° ",Sprache!$A$98)</f>
        <v>TIOMOS 120° Шарнир</v>
      </c>
      <c r="AT72" s="187" t="str">
        <f ca="1">CONCATENATE("1D° ",Sprache!$A$149)</f>
        <v>1D° Монтажная плита</v>
      </c>
      <c r="AU72"/>
      <c r="AV72"/>
      <c r="AY72"/>
      <c r="AZ72"/>
      <c r="BA72"/>
      <c r="BB72"/>
      <c r="BC72"/>
    </row>
    <row r="73" spans="1:55" x14ac:dyDescent="0.25">
      <c r="A73" s="12" t="str">
        <f ca="1">IF(F73+G73+H73+I73+J73+D73+E73=3,IF(Tabelle2[[#This Row],[Kappe Weiß]]=Limits!$R$29,1,""),"")</f>
        <v/>
      </c>
      <c r="B73" s="12" t="str">
        <f ca="1">IF(G73+H73+I73+J73+E73+F73=2,IF(Tabelle2[[#This Row],[Kappe Weiß]]=Limits!$R$29,1,""),"")</f>
        <v/>
      </c>
      <c r="C73" s="291">
        <v>0</v>
      </c>
      <c r="D73" s="171">
        <f>IF(Limits!$P$3=TRUE,1,0)</f>
        <v>1</v>
      </c>
      <c r="E73" s="172">
        <f>IF(Daten!$P73+Daten!$Q73+Daten!$S73=3,1,0)</f>
        <v>0</v>
      </c>
      <c r="F73" s="173">
        <f ca="1">IF(AND(Limits!$Q$21=TRUE,Daten!O73=1)=TRUE,1,0)</f>
        <v>1</v>
      </c>
      <c r="G73" s="174">
        <f ca="1">IF(AND(Limits!$Q$25=TRUE,Daten!N73=1)=TRUE,1,0)</f>
        <v>0</v>
      </c>
      <c r="H73" s="174">
        <f ca="1">IF(AND(Limits!$Q$24=TRUE,Daten!M73=1)=TRUE,1,0)</f>
        <v>0</v>
      </c>
      <c r="I73" s="174">
        <f ca="1">IF(AND(Limits!$Q$23=TRUE,Daten!L73=1)=TRUE,1,0)</f>
        <v>0</v>
      </c>
      <c r="J73" s="174">
        <f ca="1">IF(AND(Limits!$Q$22=TRUE,Daten!K73=1)=TRUE,1,0)</f>
        <v>0</v>
      </c>
      <c r="K73" s="188">
        <f ca="1">IF(Daten!$V73=13,1,0)</f>
        <v>0</v>
      </c>
      <c r="L73" s="189">
        <f ca="1">IF(Daten!$V73&lt;&gt;Daten!$W73,1,IF(Daten!$V73=14,1,0))</f>
        <v>0</v>
      </c>
      <c r="M73" s="189">
        <f ca="1">IF(Daten!$V73&lt;&gt;Daten!$W73,1,IF(Daten!$V73=16,1,0))</f>
        <v>0</v>
      </c>
      <c r="N73" s="189">
        <f ca="1">IF(Daten!$W73=17,1,0)</f>
        <v>0</v>
      </c>
      <c r="O73" s="190">
        <f ca="1">IF(Daten!$X73=Sprache!$A$70,1,0)</f>
        <v>1</v>
      </c>
      <c r="P73" s="191">
        <f>IF(AND(Daten!$AQ73&lt;=KINVARO!$AW$3,Daten!$AR73&gt;=KINVARO!$AW$3)=TRUE,1,0)</f>
        <v>1</v>
      </c>
      <c r="Q73" s="192">
        <f>IF(AND(Daten!$AA73&lt;=KINVARO!$AW$4,Daten!$AB73&gt;=KINVARO!$AW$4)=TRUE,1,0)</f>
        <v>0</v>
      </c>
      <c r="R73" s="192"/>
      <c r="S73" s="192">
        <f>IF(AND(Daten!$AD73&lt;=Limits!$I$70,Daten!$AE73&gt;=Limits!$I$70)=TRUE,1,0)</f>
        <v>0</v>
      </c>
      <c r="T73" s="193">
        <f ca="1">IF(Daten!$Y73=Sprache!$A$135,1,0)</f>
        <v>0</v>
      </c>
      <c r="U73" s="124" t="str">
        <f ca="1">Sprache!$A$61</f>
        <v>F-20 Складной подъемник</v>
      </c>
      <c r="V73" s="194" t="str">
        <f ca="1">Sprache!$A$74</f>
        <v>var</v>
      </c>
      <c r="W73" s="193" t="str">
        <f ca="1">Sprache!$A$74</f>
        <v>var</v>
      </c>
      <c r="X73" s="187" t="str">
        <f ca="1">Sprache!$A$70</f>
        <v>соединение с древесиной</v>
      </c>
      <c r="Y73" s="187" t="str">
        <f ca="1">Sprache!$A$136</f>
        <v>nein</v>
      </c>
      <c r="Z73" s="187" t="str">
        <f ca="1">Sprache!$A$106</f>
        <v>Korpus</v>
      </c>
      <c r="AA73" s="187">
        <v>700</v>
      </c>
      <c r="AB73" s="124">
        <v>749</v>
      </c>
      <c r="AC73" s="187"/>
      <c r="AD73" s="195">
        <v>10</v>
      </c>
      <c r="AE73" s="196">
        <v>18</v>
      </c>
      <c r="AF73" s="263" t="str">
        <f>MID(Tabelle2[[#This Row],[bnr full]],1,4)</f>
        <v>F152</v>
      </c>
      <c r="AG73" s="264" t="str">
        <f>MID(Tabelle2[[#This Row],[bnr full]],5,3)</f>
        <v>145</v>
      </c>
      <c r="AH73" s="265" t="str">
        <f>MID(Tabelle2[[#This Row],[bnr full]],8,3)</f>
        <v>245</v>
      </c>
      <c r="AI73" s="264" t="str">
        <f>MID(Tabelle2[[#This Row],[bnr full]],11,3)</f>
        <v>201</v>
      </c>
      <c r="AJ73" s="252" t="str">
        <f>MID(Tabelle2[[#This Row],[bnr full]],11,3)</f>
        <v>201</v>
      </c>
      <c r="AK73" s="197" t="s">
        <v>782</v>
      </c>
      <c r="AL73" s="124" t="str">
        <f ca="1">Sprache!$A$111</f>
        <v>Комплект (Л + П)</v>
      </c>
      <c r="AM73" s="187" t="str">
        <f ca="1">Sprache!$A$118</f>
        <v>Направляющий рычаг, тип 6</v>
      </c>
      <c r="AN73" s="187" t="str">
        <f ca="1">Sprache!$A$123</f>
        <v>Силовой механизм D</v>
      </c>
      <c r="AO73" s="187" t="s">
        <v>25</v>
      </c>
      <c r="AP73" s="187" t="s">
        <v>25</v>
      </c>
      <c r="AQ73" s="187">
        <v>400</v>
      </c>
      <c r="AR73" s="124">
        <v>1200</v>
      </c>
      <c r="AS73" s="187" t="str">
        <f ca="1">CONCATENATE("TIOMOS 120° ",Sprache!$A$98)</f>
        <v>TIOMOS 120° Шарнир</v>
      </c>
      <c r="AT73" s="187" t="str">
        <f ca="1">CONCATENATE("1D° ",Sprache!$A$149)</f>
        <v>1D° Монтажная плита</v>
      </c>
      <c r="AU73"/>
      <c r="AV73"/>
      <c r="AY73"/>
      <c r="AZ73"/>
      <c r="BA73"/>
      <c r="BB73"/>
      <c r="BC73"/>
    </row>
    <row r="74" spans="1:55" x14ac:dyDescent="0.25">
      <c r="A74" s="12" t="str">
        <f ca="1">IF(F74+G74+H74+I74+J74+D74+E74=3,IF(Tabelle2[[#This Row],[Kappe Weiß]]=Limits!$R$29,1,""),"")</f>
        <v/>
      </c>
      <c r="B74" s="12" t="str">
        <f ca="1">IF(G74+H74+I74+J74+E74+F74=2,IF(Tabelle2[[#This Row],[Kappe Weiß]]=Limits!$R$29,1,""),"")</f>
        <v/>
      </c>
      <c r="C74" s="291">
        <v>0</v>
      </c>
      <c r="D74" s="171">
        <f>IF(Limits!$P$3=TRUE,1,0)</f>
        <v>1</v>
      </c>
      <c r="E74" s="172">
        <f>IF(Daten!$P74+Daten!$Q74+Daten!$S74=3,1,0)</f>
        <v>0</v>
      </c>
      <c r="F74" s="173">
        <f ca="1">IF(AND(Limits!$Q$21=TRUE,Daten!O74=1)=TRUE,1,0)</f>
        <v>0</v>
      </c>
      <c r="G74" s="174">
        <f>IF(AND(Limits!$Q$25=TRUE,Daten!N74=1)=TRUE,1,0)</f>
        <v>0</v>
      </c>
      <c r="H74" s="174">
        <f>IF(AND(Limits!$Q$24=TRUE,Daten!M74=1)=TRUE,1,0)</f>
        <v>0</v>
      </c>
      <c r="I74" s="174">
        <f>IF(AND(Limits!$Q$23=TRUE,Daten!L74=1)=TRUE,1,0)</f>
        <v>0</v>
      </c>
      <c r="J74" s="174">
        <f>IF(AND(Limits!$Q$22=TRUE,Daten!K74=1)=TRUE,1,0)</f>
        <v>0</v>
      </c>
      <c r="K74" s="188">
        <f>IF(Daten!$V74=13,1,0)</f>
        <v>1</v>
      </c>
      <c r="L74" s="189">
        <f>IF(Daten!$V74&lt;&gt;Daten!$W74,1,IF(Daten!$V74=14,1,0))</f>
        <v>1</v>
      </c>
      <c r="M74" s="189">
        <f>IF(Daten!$V74&lt;&gt;Daten!$W74,1,IF(Daten!$V74=16,1,0))</f>
        <v>1</v>
      </c>
      <c r="N74" s="189">
        <f>IF(Daten!$W74=17,1,0)</f>
        <v>1</v>
      </c>
      <c r="O74" s="190">
        <f ca="1">IF(Daten!$X74=Sprache!$A$70,1,0)</f>
        <v>0</v>
      </c>
      <c r="P74" s="191">
        <f>IF(AND(Daten!$AQ74&lt;=KINVARO!$AW$3,Daten!$AR74&gt;=KINVARO!$AW$3)=TRUE,1,0)</f>
        <v>1</v>
      </c>
      <c r="Q74" s="192">
        <f>IF(AND(Daten!$AA74&lt;=KINVARO!$AW$4,Daten!$AB74&gt;=KINVARO!$AW$4)=TRUE,1,0)</f>
        <v>0</v>
      </c>
      <c r="R74" s="192"/>
      <c r="S74" s="192">
        <f>IF(AND(Daten!$AD74&lt;=Limits!$I$70,Daten!$AE74&gt;=Limits!$I$70)=TRUE,1,0)</f>
        <v>1</v>
      </c>
      <c r="T74" s="193">
        <f ca="1">IF(Daten!$Y74=Sprache!$A$135,1,0)</f>
        <v>0</v>
      </c>
      <c r="U74" s="124" t="str">
        <f ca="1">Sprache!$A$61</f>
        <v>F-20 Складной подъемник</v>
      </c>
      <c r="V74" s="194">
        <v>13</v>
      </c>
      <c r="W74" s="193">
        <v>17</v>
      </c>
      <c r="X74" s="187" t="str">
        <f ca="1">Sprache!$A$141</f>
        <v>Alu</v>
      </c>
      <c r="Y74" s="187" t="str">
        <f ca="1">Sprache!$A$136</f>
        <v>nein</v>
      </c>
      <c r="Z74" s="187" t="str">
        <f ca="1">Sprache!$A$106</f>
        <v>Korpus</v>
      </c>
      <c r="AA74" s="187">
        <v>700</v>
      </c>
      <c r="AB74" s="124">
        <v>749</v>
      </c>
      <c r="AC74" s="187"/>
      <c r="AD74" s="195">
        <v>6.5</v>
      </c>
      <c r="AE74" s="196">
        <v>16.399999999999999</v>
      </c>
      <c r="AF74" s="263" t="str">
        <f>MID(Tabelle2[[#This Row],[bnr full]],1,4)</f>
        <v>F152</v>
      </c>
      <c r="AG74" s="264" t="str">
        <f>MID(Tabelle2[[#This Row],[bnr full]],5,3)</f>
        <v>145</v>
      </c>
      <c r="AH74" s="265" t="str">
        <f>MID(Tabelle2[[#This Row],[bnr full]],8,3)</f>
        <v>244</v>
      </c>
      <c r="AI74" s="264" t="str">
        <f>MID(Tabelle2[[#This Row],[bnr full]],11,3)</f>
        <v>201</v>
      </c>
      <c r="AJ74" s="252" t="str">
        <f>MID(Tabelle2[[#This Row],[bnr full]],11,3)</f>
        <v>201</v>
      </c>
      <c r="AK74" s="197" t="s">
        <v>781</v>
      </c>
      <c r="AL74" s="124" t="str">
        <f ca="1">Sprache!$A$111</f>
        <v>Комплект (Л + П)</v>
      </c>
      <c r="AM74" s="187" t="str">
        <f ca="1">Sprache!$A$118</f>
        <v>Направляющий рычаг, тип 6</v>
      </c>
      <c r="AN74" s="187" t="str">
        <f ca="1">Sprache!$A$122</f>
        <v>Силовой механизм C</v>
      </c>
      <c r="AO74" s="187" t="str">
        <f ca="1">Sprache!$A$144</f>
        <v>Адаптер под алюминиевые рамки к комплекту Kinvaro F-20</v>
      </c>
      <c r="AP74" s="187" t="s">
        <v>815</v>
      </c>
      <c r="AQ74" s="187">
        <v>400</v>
      </c>
      <c r="AR74" s="124">
        <v>1200</v>
      </c>
      <c r="AS74" s="187" t="str">
        <f ca="1">CONCATENATE("TIOMOS 110° ",Sprache!$A$150)</f>
        <v>TIOMOS 110° Шарнир для алюминиевой рамки</v>
      </c>
      <c r="AT74" s="187" t="str">
        <f ca="1">CONCATENATE("1D° ",Sprache!$A$149)</f>
        <v>1D° Монтажная плита</v>
      </c>
      <c r="AU74"/>
      <c r="AV74"/>
      <c r="AY74"/>
      <c r="AZ74"/>
      <c r="BA74"/>
      <c r="BB74"/>
      <c r="BC74"/>
    </row>
    <row r="75" spans="1:55" s="5" customFormat="1" x14ac:dyDescent="0.25">
      <c r="A75" s="12" t="str">
        <f ca="1">IF(F75+G75+H75+I75+J75+D75+E75=3,IF(Tabelle2[[#This Row],[Kappe Weiß]]=Limits!$R$29,1,""),"")</f>
        <v/>
      </c>
      <c r="B75" s="12" t="str">
        <f ca="1">IF(G75+H75+I75+J75+E75+F75=2,IF(Tabelle2[[#This Row],[Kappe Weiß]]=Limits!$R$29,1,""),"")</f>
        <v/>
      </c>
      <c r="C75" s="291">
        <v>0</v>
      </c>
      <c r="D75" s="171">
        <f>IF(Limits!$P$3=TRUE,1,0)</f>
        <v>1</v>
      </c>
      <c r="E75" s="172">
        <f>IF(Daten!$P75+Daten!$Q75+Daten!$S75=3,1,0)</f>
        <v>0</v>
      </c>
      <c r="F75" s="173">
        <f ca="1">IF(AND(Limits!$Q$21=TRUE,Daten!O75=1)=TRUE,1,0)</f>
        <v>0</v>
      </c>
      <c r="G75" s="174">
        <f>IF(AND(Limits!$Q$25=TRUE,Daten!N75=1)=TRUE,1,0)</f>
        <v>0</v>
      </c>
      <c r="H75" s="174">
        <f>IF(AND(Limits!$Q$24=TRUE,Daten!M75=1)=TRUE,1,0)</f>
        <v>0</v>
      </c>
      <c r="I75" s="174">
        <f>IF(AND(Limits!$Q$23=TRUE,Daten!L75=1)=TRUE,1,0)</f>
        <v>0</v>
      </c>
      <c r="J75" s="174">
        <f>IF(AND(Limits!$Q$22=TRUE,Daten!K75=1)=TRUE,1,0)</f>
        <v>0</v>
      </c>
      <c r="K75" s="188">
        <f>IF(Daten!$V75=13,1,0)</f>
        <v>1</v>
      </c>
      <c r="L75" s="189">
        <f>IF(Daten!$V75&lt;&gt;Daten!$W75,1,IF(Daten!$V75=14,1,0))</f>
        <v>1</v>
      </c>
      <c r="M75" s="189">
        <f>IF(Daten!$V75&lt;&gt;Daten!$W75,1,IF(Daten!$V75=16,1,0))</f>
        <v>1</v>
      </c>
      <c r="N75" s="189">
        <f>IF(Daten!$W75=17,1,0)</f>
        <v>1</v>
      </c>
      <c r="O75" s="190">
        <f ca="1">IF(Daten!$X75=Sprache!$A$70,1,0)</f>
        <v>0</v>
      </c>
      <c r="P75" s="191">
        <f>IF(AND(Daten!$AQ75&lt;=KINVARO!$AW$3,Daten!$AR75&gt;=KINVARO!$AW$3)=TRUE,1,0)</f>
        <v>1</v>
      </c>
      <c r="Q75" s="192">
        <f>IF(AND(Daten!$AA75&lt;=KINVARO!$AW$4,Daten!$AB75&gt;=KINVARO!$AW$4)=TRUE,1,0)</f>
        <v>0</v>
      </c>
      <c r="R75" s="192"/>
      <c r="S75" s="192">
        <f>IF(AND(Daten!$AD75&lt;=Limits!$I$70,Daten!$AE75&gt;=Limits!$I$70)=TRUE,1,0)</f>
        <v>0</v>
      </c>
      <c r="T75" s="193">
        <f ca="1">IF(Daten!$Y75=Sprache!$A$135,1,0)</f>
        <v>0</v>
      </c>
      <c r="U75" s="124" t="str">
        <f ca="1">Sprache!$A$61</f>
        <v>F-20 Складной подъемник</v>
      </c>
      <c r="V75" s="194">
        <v>13</v>
      </c>
      <c r="W75" s="193">
        <v>17</v>
      </c>
      <c r="X75" s="187" t="str">
        <f ca="1">Sprache!$A$141</f>
        <v>Alu</v>
      </c>
      <c r="Y75" s="187" t="str">
        <f ca="1">Sprache!$A$136</f>
        <v>nein</v>
      </c>
      <c r="Z75" s="187" t="str">
        <f ca="1">Sprache!$A$106</f>
        <v>Korpus</v>
      </c>
      <c r="AA75" s="187">
        <v>700</v>
      </c>
      <c r="AB75" s="124">
        <v>749</v>
      </c>
      <c r="AC75" s="187"/>
      <c r="AD75" s="195">
        <v>10</v>
      </c>
      <c r="AE75" s="196">
        <v>18</v>
      </c>
      <c r="AF75" s="263" t="str">
        <f>MID(Tabelle2[[#This Row],[bnr full]],1,4)</f>
        <v>F152</v>
      </c>
      <c r="AG75" s="264" t="str">
        <f>MID(Tabelle2[[#This Row],[bnr full]],5,3)</f>
        <v>145</v>
      </c>
      <c r="AH75" s="265" t="str">
        <f>MID(Tabelle2[[#This Row],[bnr full]],8,3)</f>
        <v>245</v>
      </c>
      <c r="AI75" s="264" t="str">
        <f>MID(Tabelle2[[#This Row],[bnr full]],11,3)</f>
        <v>201</v>
      </c>
      <c r="AJ75" s="252" t="str">
        <f>MID(Tabelle2[[#This Row],[bnr full]],11,3)</f>
        <v>201</v>
      </c>
      <c r="AK75" s="197" t="s">
        <v>782</v>
      </c>
      <c r="AL75" s="124" t="str">
        <f ca="1">Sprache!$A$111</f>
        <v>Комплект (Л + П)</v>
      </c>
      <c r="AM75" s="187" t="str">
        <f ca="1">Sprache!$A$118</f>
        <v>Направляющий рычаг, тип 6</v>
      </c>
      <c r="AN75" s="187" t="str">
        <f ca="1">Sprache!$A$123</f>
        <v>Силовой механизм D</v>
      </c>
      <c r="AO75" s="187" t="str">
        <f ca="1">Sprache!$A$144</f>
        <v>Адаптер под алюминиевые рамки к комплекту Kinvaro F-20</v>
      </c>
      <c r="AP75" s="187" t="s">
        <v>815</v>
      </c>
      <c r="AQ75" s="187">
        <v>400</v>
      </c>
      <c r="AR75" s="124">
        <v>1200</v>
      </c>
      <c r="AS75" s="187" t="str">
        <f ca="1">CONCATENATE("TIOMOS 110° ",Sprache!$A$150)</f>
        <v>TIOMOS 110° Шарнир для алюминиевой рамки</v>
      </c>
      <c r="AT75" s="187" t="str">
        <f ca="1">CONCATENATE("1D° ",Sprache!$A$149)</f>
        <v>1D° Монтажная плита</v>
      </c>
    </row>
    <row r="76" spans="1:55" x14ac:dyDescent="0.25">
      <c r="A76" s="12">
        <f ca="1">IF(F76+G76+H76+I76+J76+D76+E76=3,IF(Tabelle2[[#This Row],[Kappe Weiß]]=Limits!$R$29,1,""),"")</f>
        <v>1</v>
      </c>
      <c r="B76" s="12">
        <f ca="1">IF(G76+H76+I76+J76+E76+F76=2,IF(Tabelle2[[#This Row],[Kappe Weiß]]=Limits!$R$29,1,""),"")</f>
        <v>1</v>
      </c>
      <c r="C76" s="292">
        <v>0</v>
      </c>
      <c r="D76" s="171">
        <f>IF(Limits!$P$3=TRUE,1,0)</f>
        <v>1</v>
      </c>
      <c r="E76" s="172">
        <f>IF(Daten!$P76+Daten!$Q76+Daten!$S76=3,1,0)</f>
        <v>1</v>
      </c>
      <c r="F76" s="173">
        <f ca="1">IF(AND(Limits!$Q$21=TRUE,Daten!O76=1)=TRUE,1,0)</f>
        <v>1</v>
      </c>
      <c r="G76" s="174">
        <f ca="1">IF(AND(Limits!$Q$25=TRUE,Daten!N76=1)=TRUE,1,0)</f>
        <v>0</v>
      </c>
      <c r="H76" s="174">
        <f ca="1">IF(AND(Limits!$Q$24=TRUE,Daten!M76=1)=TRUE,1,0)</f>
        <v>0</v>
      </c>
      <c r="I76" s="174">
        <f ca="1">IF(AND(Limits!$Q$23=TRUE,Daten!L76=1)=TRUE,1,0)</f>
        <v>0</v>
      </c>
      <c r="J76" s="174">
        <f ca="1">IF(AND(Limits!$Q$22=TRUE,Daten!K76=1)=TRUE,1,0)</f>
        <v>0</v>
      </c>
      <c r="K76" s="188">
        <f ca="1">IF(Daten!$V76=13,1,0)</f>
        <v>0</v>
      </c>
      <c r="L76" s="189">
        <f ca="1">IF(Daten!$V76&lt;&gt;Daten!$W76,1,IF(Daten!$V76=14,1,0))</f>
        <v>0</v>
      </c>
      <c r="M76" s="189">
        <f ca="1">IF(Daten!$V76&lt;&gt;Daten!$W76,1,IF(Daten!$V76=16,1,0))</f>
        <v>0</v>
      </c>
      <c r="N76" s="189">
        <f ca="1">IF(Daten!$W76=17,1,0)</f>
        <v>0</v>
      </c>
      <c r="O76" s="190">
        <f ca="1">IF(Daten!$X76=Sprache!$A$70,1,0)</f>
        <v>1</v>
      </c>
      <c r="P76" s="198">
        <f>IF(AND(Daten!$AQ76&lt;=KINVARO!$AW$3,Daten!$AR76&gt;=KINVARO!$AW$3)=TRUE,1,0)</f>
        <v>1</v>
      </c>
      <c r="Q76" s="199">
        <f>IF(AND(Daten!$AA76&lt;=KINVARO!$AW$4,Daten!$AB76&gt;=KINVARO!$AW$4)=TRUE,1,0)</f>
        <v>1</v>
      </c>
      <c r="R76" s="199"/>
      <c r="S76" s="199">
        <f>IF(AND(Daten!$AD76&lt;=Limits!$I$70,Daten!$AE76&gt;=Limits!$I$70)=TRUE,1,0)</f>
        <v>1</v>
      </c>
      <c r="T76" s="200">
        <f ca="1">IF(Daten!$Y76=Sprache!$A$135,1,0)</f>
        <v>0</v>
      </c>
      <c r="U76" s="201" t="str">
        <f ca="1">Sprache!$A$61</f>
        <v>F-20 Складной подъемник</v>
      </c>
      <c r="V76" s="202" t="str">
        <f ca="1">Sprache!$A$74</f>
        <v>var</v>
      </c>
      <c r="W76" s="200" t="str">
        <f ca="1">Sprache!$A$74</f>
        <v>var</v>
      </c>
      <c r="X76" s="203" t="str">
        <f ca="1">Sprache!$A$70</f>
        <v>соединение с древесиной</v>
      </c>
      <c r="Y76" s="187" t="str">
        <f ca="1">Sprache!$A$136</f>
        <v>nein</v>
      </c>
      <c r="Z76" s="203" t="str">
        <f ca="1">Sprache!$A$106</f>
        <v>Korpus</v>
      </c>
      <c r="AA76" s="203">
        <v>750</v>
      </c>
      <c r="AB76" s="201">
        <v>800</v>
      </c>
      <c r="AC76" s="203"/>
      <c r="AD76" s="204">
        <v>6</v>
      </c>
      <c r="AE76" s="205">
        <v>15.6</v>
      </c>
      <c r="AF76" s="266" t="str">
        <f>MID(Tabelle2[[#This Row],[bnr full]],1,4)</f>
        <v>F152</v>
      </c>
      <c r="AG76" s="267" t="str">
        <f>MID(Tabelle2[[#This Row],[bnr full]],5,3)</f>
        <v>145</v>
      </c>
      <c r="AH76" s="268" t="str">
        <f>MID(Tabelle2[[#This Row],[bnr full]],8,3)</f>
        <v>246</v>
      </c>
      <c r="AI76" s="267" t="str">
        <f>MID(Tabelle2[[#This Row],[bnr full]],11,3)</f>
        <v>201</v>
      </c>
      <c r="AJ76" s="253" t="str">
        <f>MID(Tabelle2[[#This Row],[bnr full]],11,3)</f>
        <v>201</v>
      </c>
      <c r="AK76" s="206" t="s">
        <v>783</v>
      </c>
      <c r="AL76" s="201" t="str">
        <f ca="1">Sprache!$A$111</f>
        <v>Комплект (Л + П)</v>
      </c>
      <c r="AM76" s="203" t="str">
        <f ca="1">Sprache!$A$119</f>
        <v>Направляющий рычаг, тип 7</v>
      </c>
      <c r="AN76" s="203" t="str">
        <f ca="1">Sprache!$A$122</f>
        <v>Силовой механизм C</v>
      </c>
      <c r="AO76" s="203" t="s">
        <v>25</v>
      </c>
      <c r="AP76" s="203" t="s">
        <v>25</v>
      </c>
      <c r="AQ76" s="203">
        <v>400</v>
      </c>
      <c r="AR76" s="201">
        <v>1200</v>
      </c>
      <c r="AS76" s="187" t="str">
        <f ca="1">CONCATENATE("TIOMOS 120° ",Sprache!$A$98)</f>
        <v>TIOMOS 120° Шарнир</v>
      </c>
      <c r="AT76" s="187" t="str">
        <f ca="1">CONCATENATE("1D° ",Sprache!$A$149)</f>
        <v>1D° Монтажная плита</v>
      </c>
      <c r="AU76"/>
      <c r="AV76"/>
      <c r="AY76"/>
      <c r="AZ76"/>
      <c r="BA76"/>
      <c r="BB76"/>
      <c r="BC76"/>
    </row>
    <row r="77" spans="1:55" x14ac:dyDescent="0.25">
      <c r="A77" s="12">
        <f ca="1">IF(F77+G77+H77+I77+J77+D77+E77=3,IF(Tabelle2[[#This Row],[Kappe Weiß]]=Limits!$R$29,1,""),"")</f>
        <v>1</v>
      </c>
      <c r="B77" s="12">
        <f ca="1">IF(G77+H77+I77+J77+E77+F77=2,IF(Tabelle2[[#This Row],[Kappe Weiß]]=Limits!$R$29,1,""),"")</f>
        <v>1</v>
      </c>
      <c r="C77" s="291">
        <v>0</v>
      </c>
      <c r="D77" s="171">
        <f>IF(Limits!$P$3=TRUE,1,0)</f>
        <v>1</v>
      </c>
      <c r="E77" s="172">
        <f>IF(Daten!$P77+Daten!$Q77+Daten!$S77=3,1,0)</f>
        <v>1</v>
      </c>
      <c r="F77" s="173">
        <f ca="1">IF(AND(Limits!$Q$21=TRUE,Daten!O77=1)=TRUE,1,0)</f>
        <v>1</v>
      </c>
      <c r="G77" s="174">
        <f ca="1">IF(AND(Limits!$Q$25=TRUE,Daten!N77=1)=TRUE,1,0)</f>
        <v>0</v>
      </c>
      <c r="H77" s="174">
        <f ca="1">IF(AND(Limits!$Q$24=TRUE,Daten!M77=1)=TRUE,1,0)</f>
        <v>0</v>
      </c>
      <c r="I77" s="174">
        <f ca="1">IF(AND(Limits!$Q$23=TRUE,Daten!L77=1)=TRUE,1,0)</f>
        <v>0</v>
      </c>
      <c r="J77" s="174">
        <f ca="1">IF(AND(Limits!$Q$22=TRUE,Daten!K77=1)=TRUE,1,0)</f>
        <v>0</v>
      </c>
      <c r="K77" s="188">
        <f ca="1">IF(Daten!$V77=13,1,0)</f>
        <v>0</v>
      </c>
      <c r="L77" s="189">
        <f ca="1">IF(Daten!$V77&lt;&gt;Daten!$W77,1,IF(Daten!$V77=14,1,0))</f>
        <v>0</v>
      </c>
      <c r="M77" s="189">
        <f ca="1">IF(Daten!$V77&lt;&gt;Daten!$W77,1,IF(Daten!$V77=16,1,0))</f>
        <v>0</v>
      </c>
      <c r="N77" s="189">
        <f ca="1">IF(Daten!$W77=17,1,0)</f>
        <v>0</v>
      </c>
      <c r="O77" s="190">
        <f ca="1">IF(Daten!$X77=Sprache!$A$70,1,0)</f>
        <v>1</v>
      </c>
      <c r="P77" s="191">
        <f>IF(AND(Daten!$AQ77&lt;=KINVARO!$AW$3,Daten!$AR77&gt;=KINVARO!$AW$3)=TRUE,1,0)</f>
        <v>1</v>
      </c>
      <c r="Q77" s="192">
        <f>IF(AND(Daten!$AA77&lt;=KINVARO!$AW$4,Daten!$AB77&gt;=KINVARO!$AW$4)=TRUE,1,0)</f>
        <v>1</v>
      </c>
      <c r="R77" s="192"/>
      <c r="S77" s="192">
        <f>IF(AND(Daten!$AD77&lt;=Limits!$I$70,Daten!$AE77&gt;=Limits!$I$70)=TRUE,1,0)</f>
        <v>1</v>
      </c>
      <c r="T77" s="193">
        <f ca="1">IF(Daten!$Y77=Sprache!$A$135,1,0)</f>
        <v>0</v>
      </c>
      <c r="U77" s="187" t="str">
        <f ca="1">Sprache!$A$61</f>
        <v>F-20 Складной подъемник</v>
      </c>
      <c r="V77" s="194" t="str">
        <f ca="1">Sprache!$A$74</f>
        <v>var</v>
      </c>
      <c r="W77" s="193" t="str">
        <f ca="1">Sprache!$A$74</f>
        <v>var</v>
      </c>
      <c r="X77" s="187" t="str">
        <f ca="1">Sprache!$A$70</f>
        <v>соединение с древесиной</v>
      </c>
      <c r="Y77" s="187" t="str">
        <f ca="1">Sprache!$A$136</f>
        <v>nein</v>
      </c>
      <c r="Z77" s="187" t="str">
        <f ca="1">Sprache!$A$106</f>
        <v>Korpus</v>
      </c>
      <c r="AA77" s="187">
        <v>750</v>
      </c>
      <c r="AB77" s="124">
        <v>800</v>
      </c>
      <c r="AC77" s="187"/>
      <c r="AD77" s="195">
        <v>8.6</v>
      </c>
      <c r="AE77" s="196">
        <v>19.2</v>
      </c>
      <c r="AF77" s="263" t="str">
        <f>MID(Tabelle2[[#This Row],[bnr full]],1,4)</f>
        <v>F152</v>
      </c>
      <c r="AG77" s="264" t="str">
        <f>MID(Tabelle2[[#This Row],[bnr full]],5,3)</f>
        <v>145</v>
      </c>
      <c r="AH77" s="265" t="str">
        <f>MID(Tabelle2[[#This Row],[bnr full]],8,3)</f>
        <v>247</v>
      </c>
      <c r="AI77" s="264" t="str">
        <f>MID(Tabelle2[[#This Row],[bnr full]],11,3)</f>
        <v>201</v>
      </c>
      <c r="AJ77" s="252" t="str">
        <f>MID(Tabelle2[[#This Row],[bnr full]],11,3)</f>
        <v>201</v>
      </c>
      <c r="AK77" s="197" t="s">
        <v>784</v>
      </c>
      <c r="AL77" s="124" t="str">
        <f ca="1">Sprache!$A$111</f>
        <v>Комплект (Л + П)</v>
      </c>
      <c r="AM77" s="187" t="str">
        <f ca="1">Sprache!$A$119</f>
        <v>Направляющий рычаг, тип 7</v>
      </c>
      <c r="AN77" s="187" t="str">
        <f ca="1">Sprache!$A$123</f>
        <v>Силовой механизм D</v>
      </c>
      <c r="AO77" s="187" t="s">
        <v>25</v>
      </c>
      <c r="AP77" s="187" t="s">
        <v>25</v>
      </c>
      <c r="AQ77" s="187">
        <v>400</v>
      </c>
      <c r="AR77" s="124">
        <v>1200</v>
      </c>
      <c r="AS77" s="187" t="str">
        <f ca="1">CONCATENATE("TIOMOS 120° ",Sprache!$A$98)</f>
        <v>TIOMOS 120° Шарнир</v>
      </c>
      <c r="AT77" s="187" t="str">
        <f ca="1">CONCATENATE("1D° ",Sprache!$A$149)</f>
        <v>1D° Монтажная плита</v>
      </c>
      <c r="AU77"/>
      <c r="AV77"/>
      <c r="AY77"/>
      <c r="AZ77"/>
      <c r="BA77"/>
      <c r="BB77"/>
      <c r="BC77"/>
    </row>
    <row r="78" spans="1:55" x14ac:dyDescent="0.25">
      <c r="A78" s="12" t="str">
        <f ca="1">IF(F78+G78+H78+I78+J78+D78+E78=3,IF(Tabelle2[[#This Row],[Kappe Weiß]]=Limits!$R$29,1,""),"")</f>
        <v/>
      </c>
      <c r="B78" s="12" t="str">
        <f ca="1">IF(G78+H78+I78+J78+E78+F78=2,IF(Tabelle2[[#This Row],[Kappe Weiß]]=Limits!$R$29,1,""),"")</f>
        <v/>
      </c>
      <c r="C78" s="291">
        <v>0</v>
      </c>
      <c r="D78" s="171">
        <f>IF(Limits!$P$3=TRUE,1,0)</f>
        <v>1</v>
      </c>
      <c r="E78" s="172">
        <f>IF(Daten!$P78+Daten!$Q78+Daten!$S78=3,1,0)</f>
        <v>1</v>
      </c>
      <c r="F78" s="173">
        <f ca="1">IF(AND(Limits!$Q$21=TRUE,Daten!O78=1)=TRUE,1,0)</f>
        <v>0</v>
      </c>
      <c r="G78" s="174">
        <f>IF(AND(Limits!$Q$25=TRUE,Daten!N78=1)=TRUE,1,0)</f>
        <v>0</v>
      </c>
      <c r="H78" s="174">
        <f>IF(AND(Limits!$Q$24=TRUE,Daten!M78=1)=TRUE,1,0)</f>
        <v>0</v>
      </c>
      <c r="I78" s="174">
        <f>IF(AND(Limits!$Q$23=TRUE,Daten!L78=1)=TRUE,1,0)</f>
        <v>0</v>
      </c>
      <c r="J78" s="174">
        <f>IF(AND(Limits!$Q$22=TRUE,Daten!K78=1)=TRUE,1,0)</f>
        <v>0</v>
      </c>
      <c r="K78" s="188">
        <f>IF(Daten!$V78=13,1,0)</f>
        <v>1</v>
      </c>
      <c r="L78" s="189">
        <f>IF(Daten!$V78&lt;&gt;Daten!$W78,1,IF(Daten!$V78=14,1,0))</f>
        <v>1</v>
      </c>
      <c r="M78" s="189">
        <f>IF(Daten!$V78&lt;&gt;Daten!$W78,1,IF(Daten!$V78=16,1,0))</f>
        <v>1</v>
      </c>
      <c r="N78" s="189">
        <f>IF(Daten!$W78=17,1,0)</f>
        <v>1</v>
      </c>
      <c r="O78" s="190">
        <f ca="1">IF(Daten!$X78=Sprache!$A$70,1,0)</f>
        <v>0</v>
      </c>
      <c r="P78" s="191">
        <f>IF(AND(Daten!$AQ78&lt;=KINVARO!$AW$3,Daten!$AR78&gt;=KINVARO!$AW$3)=TRUE,1,0)</f>
        <v>1</v>
      </c>
      <c r="Q78" s="192">
        <f>IF(AND(Daten!$AA78&lt;=KINVARO!$AW$4,Daten!$AB78&gt;=KINVARO!$AW$4)=TRUE,1,0)</f>
        <v>1</v>
      </c>
      <c r="R78" s="192"/>
      <c r="S78" s="192">
        <f>IF(AND(Daten!$AD78&lt;=Limits!$I$70,Daten!$AE78&gt;=Limits!$I$70)=TRUE,1,0)</f>
        <v>1</v>
      </c>
      <c r="T78" s="193">
        <f ca="1">IF(Daten!$Y78=Sprache!$A$135,1,0)</f>
        <v>0</v>
      </c>
      <c r="U78" s="124" t="str">
        <f ca="1">Sprache!$A$61</f>
        <v>F-20 Складной подъемник</v>
      </c>
      <c r="V78" s="194">
        <v>13</v>
      </c>
      <c r="W78" s="193">
        <v>17</v>
      </c>
      <c r="X78" s="187" t="str">
        <f ca="1">Sprache!$A$141</f>
        <v>Alu</v>
      </c>
      <c r="Y78" s="187" t="str">
        <f ca="1">Sprache!$A$136</f>
        <v>nein</v>
      </c>
      <c r="Z78" s="187" t="str">
        <f ca="1">Sprache!$A$106</f>
        <v>Korpus</v>
      </c>
      <c r="AA78" s="187">
        <v>750</v>
      </c>
      <c r="AB78" s="124">
        <v>800</v>
      </c>
      <c r="AC78" s="187"/>
      <c r="AD78" s="195">
        <v>6</v>
      </c>
      <c r="AE78" s="196">
        <v>15.6</v>
      </c>
      <c r="AF78" s="263" t="str">
        <f>MID(Tabelle2[[#This Row],[bnr full]],1,4)</f>
        <v>F152</v>
      </c>
      <c r="AG78" s="264" t="str">
        <f>MID(Tabelle2[[#This Row],[bnr full]],5,3)</f>
        <v>145</v>
      </c>
      <c r="AH78" s="265" t="str">
        <f>MID(Tabelle2[[#This Row],[bnr full]],8,3)</f>
        <v>246</v>
      </c>
      <c r="AI78" s="264" t="str">
        <f>MID(Tabelle2[[#This Row],[bnr full]],11,3)</f>
        <v>201</v>
      </c>
      <c r="AJ78" s="252" t="str">
        <f>MID(Tabelle2[[#This Row],[bnr full]],11,3)</f>
        <v>201</v>
      </c>
      <c r="AK78" s="197" t="s">
        <v>783</v>
      </c>
      <c r="AL78" s="124" t="str">
        <f ca="1">Sprache!$A$111</f>
        <v>Комплект (Л + П)</v>
      </c>
      <c r="AM78" s="187" t="str">
        <f ca="1">Sprache!$A$119</f>
        <v>Направляющий рычаг, тип 7</v>
      </c>
      <c r="AN78" s="187" t="str">
        <f ca="1">Sprache!$A$122</f>
        <v>Силовой механизм C</v>
      </c>
      <c r="AO78" s="187" t="str">
        <f ca="1">Sprache!$A$144</f>
        <v>Адаптер под алюминиевые рамки к комплекту Kinvaro F-20</v>
      </c>
      <c r="AP78" s="187" t="s">
        <v>815</v>
      </c>
      <c r="AQ78" s="187">
        <v>400</v>
      </c>
      <c r="AR78" s="124">
        <v>1200</v>
      </c>
      <c r="AS78" s="187" t="str">
        <f ca="1">CONCATENATE("TIOMOS 110° ",Sprache!$A$150)</f>
        <v>TIOMOS 110° Шарнир для алюминиевой рамки</v>
      </c>
      <c r="AT78" s="187" t="str">
        <f ca="1">CONCATENATE("1D° ",Sprache!$A$149)</f>
        <v>1D° Монтажная плита</v>
      </c>
      <c r="AU78"/>
      <c r="AV78"/>
      <c r="AY78"/>
      <c r="AZ78"/>
      <c r="BA78"/>
      <c r="BB78"/>
      <c r="BC78"/>
    </row>
    <row r="79" spans="1:55" x14ac:dyDescent="0.25">
      <c r="A79" s="12" t="str">
        <f ca="1">IF(F79+G79+H79+I79+J79+D79+E79=3,IF(Tabelle2[[#This Row],[Kappe Weiß]]=Limits!$R$29,1,""),"")</f>
        <v/>
      </c>
      <c r="B79" s="12" t="str">
        <f ca="1">IF(G79+H79+I79+J79+E79+F79=2,IF(Tabelle2[[#This Row],[Kappe Weiß]]=Limits!$R$29,1,""),"")</f>
        <v/>
      </c>
      <c r="C79" s="294">
        <v>0</v>
      </c>
      <c r="D79" s="207">
        <f>IF(Limits!$P$3=TRUE,1,0)</f>
        <v>1</v>
      </c>
      <c r="E79" s="172">
        <f>IF(Daten!$P79+Daten!$Q79+Daten!$S79=3,1,0)</f>
        <v>1</v>
      </c>
      <c r="F79" s="173">
        <f ca="1">IF(AND(Limits!$Q$21=TRUE,Daten!O79=1)=TRUE,1,0)</f>
        <v>0</v>
      </c>
      <c r="G79" s="174">
        <f>IF(AND(Limits!$Q$25=TRUE,Daten!N79=1)=TRUE,1,0)</f>
        <v>0</v>
      </c>
      <c r="H79" s="174">
        <f>IF(AND(Limits!$Q$24=TRUE,Daten!M79=1)=TRUE,1,0)</f>
        <v>0</v>
      </c>
      <c r="I79" s="174">
        <f>IF(AND(Limits!$Q$23=TRUE,Daten!L79=1)=TRUE,1,0)</f>
        <v>0</v>
      </c>
      <c r="J79" s="174">
        <f>IF(AND(Limits!$Q$22=TRUE,Daten!K79=1)=TRUE,1,0)</f>
        <v>0</v>
      </c>
      <c r="K79" s="188">
        <f>IF(Daten!$V79=13,1,0)</f>
        <v>1</v>
      </c>
      <c r="L79" s="189">
        <f>IF(Daten!$V79&lt;&gt;Daten!$W79,1,IF(Daten!$V79=14,1,0))</f>
        <v>1</v>
      </c>
      <c r="M79" s="189">
        <f>IF(Daten!$V79&lt;&gt;Daten!$W79,1,IF(Daten!$V79=16,1,0))</f>
        <v>1</v>
      </c>
      <c r="N79" s="189">
        <f>IF(Daten!$W79=17,1,0)</f>
        <v>1</v>
      </c>
      <c r="O79" s="190">
        <f ca="1">IF(Daten!$X79=Sprache!$A$70,1,0)</f>
        <v>0</v>
      </c>
      <c r="P79" s="217">
        <f>IF(AND(Daten!$AQ79&lt;=KINVARO!$AW$3,Daten!$AR79&gt;=KINVARO!$AW$3)=TRUE,1,0)</f>
        <v>1</v>
      </c>
      <c r="Q79" s="218">
        <f>IF(AND(Daten!$AA79&lt;=KINVARO!$AW$4,Daten!$AB79&gt;=KINVARO!$AW$4)=TRUE,1,0)</f>
        <v>1</v>
      </c>
      <c r="R79" s="218"/>
      <c r="S79" s="218">
        <f>IF(AND(Daten!$AD79&lt;=Limits!$I$70,Daten!$AE79&gt;=Limits!$I$70)=TRUE,1,0)</f>
        <v>1</v>
      </c>
      <c r="T79" s="219">
        <f ca="1">IF(Daten!$Y79=Sprache!$A$135,1,0)</f>
        <v>0</v>
      </c>
      <c r="U79" s="220" t="str">
        <f ca="1">Sprache!$A$61</f>
        <v>F-20 Складной подъемник</v>
      </c>
      <c r="V79" s="221">
        <v>13</v>
      </c>
      <c r="W79" s="219">
        <v>17</v>
      </c>
      <c r="X79" s="220" t="str">
        <f ca="1">Sprache!$A$141</f>
        <v>Alu</v>
      </c>
      <c r="Y79" s="220" t="str">
        <f ca="1">Sprache!$A$136</f>
        <v>nein</v>
      </c>
      <c r="Z79" s="220" t="str">
        <f ca="1">Sprache!$A$106</f>
        <v>Korpus</v>
      </c>
      <c r="AA79" s="220">
        <v>750</v>
      </c>
      <c r="AB79" s="132">
        <v>800</v>
      </c>
      <c r="AC79" s="220"/>
      <c r="AD79" s="222">
        <v>8.6</v>
      </c>
      <c r="AE79" s="223">
        <v>19.2</v>
      </c>
      <c r="AF79" s="272" t="str">
        <f>MID(Tabelle2[[#This Row],[bnr full]],1,4)</f>
        <v>F152</v>
      </c>
      <c r="AG79" s="273" t="str">
        <f>MID(Tabelle2[[#This Row],[bnr full]],5,3)</f>
        <v>145</v>
      </c>
      <c r="AH79" s="274" t="str">
        <f>MID(Tabelle2[[#This Row],[bnr full]],8,3)</f>
        <v>247</v>
      </c>
      <c r="AI79" s="273" t="str">
        <f>MID(Tabelle2[[#This Row],[bnr full]],11,3)</f>
        <v>201</v>
      </c>
      <c r="AJ79" s="255" t="str">
        <f>MID(Tabelle2[[#This Row],[bnr full]],11,3)</f>
        <v>201</v>
      </c>
      <c r="AK79" s="224" t="s">
        <v>784</v>
      </c>
      <c r="AL79" s="132" t="str">
        <f ca="1">Sprache!$A$111</f>
        <v>Комплект (Л + П)</v>
      </c>
      <c r="AM79" s="220" t="str">
        <f ca="1">Sprache!$A$119</f>
        <v>Направляющий рычаг, тип 7</v>
      </c>
      <c r="AN79" s="220" t="str">
        <f ca="1">Sprache!$A$123</f>
        <v>Силовой механизм D</v>
      </c>
      <c r="AO79" s="220" t="str">
        <f ca="1">Sprache!$A$144</f>
        <v>Адаптер под алюминиевые рамки к комплекту Kinvaro F-20</v>
      </c>
      <c r="AP79" s="220" t="s">
        <v>815</v>
      </c>
      <c r="AQ79" s="220">
        <v>400</v>
      </c>
      <c r="AR79" s="132">
        <v>1200</v>
      </c>
      <c r="AS79" s="220" t="str">
        <f ca="1">CONCATENATE("TIOMOS 110° ",Sprache!$A$150)</f>
        <v>TIOMOS 110° Шарнир для алюминиевой рамки</v>
      </c>
      <c r="AT79" s="220" t="str">
        <f ca="1">CONCATENATE("1D° ",Sprache!$A$149)</f>
        <v>1D° Монтажная плита</v>
      </c>
      <c r="AU79"/>
      <c r="AV79"/>
      <c r="AY79"/>
      <c r="AZ79"/>
      <c r="BA79"/>
      <c r="BB79"/>
      <c r="BC79"/>
    </row>
    <row r="80" spans="1:55" s="117" customFormat="1" x14ac:dyDescent="0.25">
      <c r="A80" s="12" t="str">
        <f ca="1">IF(F80+G80+H80+I80+J80+D80+E80=3,IF(Tabelle2[[#This Row],[Kappe Weiß]]=Limits!$R$29,1,""),"")</f>
        <v/>
      </c>
      <c r="B80" s="12" t="str">
        <f ca="1">IF(G80+H80+I80+J80+E80+F80=2,IF(Tabelle2[[#This Row],[Kappe Weiß]]=Limits!$R$29,1,""),"")</f>
        <v/>
      </c>
      <c r="C80" s="291">
        <v>0</v>
      </c>
      <c r="D80" s="171">
        <f>IF(Limits!$P$3=TRUE,1,0)</f>
        <v>1</v>
      </c>
      <c r="E80" s="172">
        <f>IF(Daten!$P80+Daten!$Q80+Daten!$S80=3,1,0)</f>
        <v>0</v>
      </c>
      <c r="F80" s="173">
        <f ca="1">IF(AND(Limits!$Q$21=TRUE,Daten!O80=1)=TRUE,1,0)</f>
        <v>1</v>
      </c>
      <c r="G80" s="174">
        <f ca="1">IF(AND(Limits!$Q$25=TRUE,Daten!N80=1)=TRUE,1,0)</f>
        <v>0</v>
      </c>
      <c r="H80" s="174">
        <f ca="1">IF(AND(Limits!$Q$24=TRUE,Daten!M80=1)=TRUE,1,0)</f>
        <v>0</v>
      </c>
      <c r="I80" s="174">
        <f ca="1">IF(AND(Limits!$Q$23=TRUE,Daten!L80=1)=TRUE,1,0)</f>
        <v>0</v>
      </c>
      <c r="J80" s="174">
        <f ca="1">IF(AND(Limits!$Q$22=TRUE,Daten!K80=1)=TRUE,1,0)</f>
        <v>0</v>
      </c>
      <c r="K80" s="188">
        <f ca="1">IF(Daten!$V80=13,1,0)</f>
        <v>0</v>
      </c>
      <c r="L80" s="189">
        <f ca="1">IF(Daten!$V80&lt;&gt;Daten!$W80,1,IF(Daten!$V80=14,1,0))</f>
        <v>0</v>
      </c>
      <c r="M80" s="189">
        <f ca="1">IF(Daten!$V80&lt;&gt;Daten!$W80,1,IF(Daten!$V80=16,1,0))</f>
        <v>0</v>
      </c>
      <c r="N80" s="189">
        <f ca="1">IF(Daten!$W80=17,1,0)</f>
        <v>0</v>
      </c>
      <c r="O80" s="190">
        <f ca="1">IF(Daten!$X80=Sprache!$A$70,1,0)</f>
        <v>1</v>
      </c>
      <c r="P80" s="191">
        <f>IF(AND(Daten!$AQ80&lt;=KINVARO!$AW$3,Daten!$AR80&gt;=KINVARO!$AW$3)=TRUE,1,0)</f>
        <v>1</v>
      </c>
      <c r="Q80" s="192">
        <f>IF(AND(Daten!$AA80&lt;=KINVARO!$AW$4,Daten!$AB80&gt;=KINVARO!$AW$4)=TRUE,1,0)</f>
        <v>0</v>
      </c>
      <c r="R80" s="192"/>
      <c r="S80" s="192">
        <f>IF(AND(Daten!$AD80&lt;=Limits!$I$70,Daten!$AE80&gt;=Limits!$I$70)=TRUE,1,0)</f>
        <v>1</v>
      </c>
      <c r="T80" s="193">
        <f ca="1">IF(Daten!$Y80=Sprache!$A$135,1,0)</f>
        <v>0</v>
      </c>
      <c r="U80" s="187" t="str">
        <f ca="1">Sprache!$A$61</f>
        <v>F-20 Складной подъемник</v>
      </c>
      <c r="V80" s="202" t="str">
        <f ca="1">Sprache!$A$74</f>
        <v>var</v>
      </c>
      <c r="W80" s="200" t="str">
        <f ca="1">Sprache!$A$74</f>
        <v>var</v>
      </c>
      <c r="X80" s="203" t="str">
        <f ca="1">Sprache!$A$70</f>
        <v>соединение с древесиной</v>
      </c>
      <c r="Y80" s="187" t="str">
        <f ca="1">Sprache!$A$136</f>
        <v>nein</v>
      </c>
      <c r="Z80" s="187" t="str">
        <f ca="1">Sprache!$A$79</f>
        <v>Створка</v>
      </c>
      <c r="AA80" s="187">
        <v>801</v>
      </c>
      <c r="AB80" s="124">
        <v>849</v>
      </c>
      <c r="AC80" s="187"/>
      <c r="AD80" s="195">
        <v>7.8</v>
      </c>
      <c r="AE80" s="196">
        <v>18</v>
      </c>
      <c r="AF80" s="263" t="str">
        <f>MID(Tabelle2[[#This Row],[bnr full]],1,4)</f>
        <v>F152</v>
      </c>
      <c r="AG80" s="264" t="str">
        <f>MID(Tabelle2[[#This Row],[bnr full]],5,3)</f>
        <v>145</v>
      </c>
      <c r="AH80" s="265" t="str">
        <f>MID(Tabelle2[[#This Row],[bnr full]],8,3)</f>
        <v>247</v>
      </c>
      <c r="AI80" s="264" t="str">
        <f>MID(Tabelle2[[#This Row],[bnr full]],11,3)</f>
        <v>201</v>
      </c>
      <c r="AJ80" s="252" t="str">
        <f>MID(Tabelle2[[#This Row],[bnr full]],11,3)</f>
        <v>201</v>
      </c>
      <c r="AK80" s="197" t="s">
        <v>784</v>
      </c>
      <c r="AL80" s="124" t="str">
        <f ca="1">Sprache!$A$111</f>
        <v>Комплект (Л + П)</v>
      </c>
      <c r="AM80" s="187" t="str">
        <f ca="1">Sprache!$A$119</f>
        <v>Направляющий рычаг, тип 7</v>
      </c>
      <c r="AN80" s="187" t="str">
        <f ca="1">Sprache!$A$123</f>
        <v>Силовой механизм D</v>
      </c>
      <c r="AO80" s="187" t="s">
        <v>25</v>
      </c>
      <c r="AP80" s="187" t="s">
        <v>25</v>
      </c>
      <c r="AQ80" s="187">
        <v>400</v>
      </c>
      <c r="AR80" s="124">
        <v>1200</v>
      </c>
      <c r="AS80" s="187" t="str">
        <f ca="1">CONCATENATE("TIOMOS 120° ",Sprache!$A$98)</f>
        <v>TIOMOS 120° Шарнир</v>
      </c>
      <c r="AT80" s="187" t="str">
        <f ca="1">CONCATENATE("1D° ",Sprache!$A$149)</f>
        <v>1D° Монтажная плита</v>
      </c>
    </row>
    <row r="81" spans="1:55" s="5" customFormat="1" x14ac:dyDescent="0.25">
      <c r="A81" s="12" t="str">
        <f ca="1">IF(F81+G81+H81+I81+J81+D81+E81=3,IF(Tabelle2[[#This Row],[Kappe Weiß]]=Limits!$R$29,1,""),"")</f>
        <v/>
      </c>
      <c r="B81" s="239" t="str">
        <f ca="1">IF(G81+H81+I81+J81+E81+F81=2,IF(Tabelle2[[#This Row],[Kappe Weiß]]=Limits!$R$29,1,""),"")</f>
        <v/>
      </c>
      <c r="C81" s="294">
        <v>0</v>
      </c>
      <c r="D81" s="207">
        <f>IF(Limits!$P$3=TRUE,1,0)</f>
        <v>1</v>
      </c>
      <c r="E81" s="240">
        <f>IF(Daten!$P81+Daten!$Q81+Daten!$S81=3,1,0)</f>
        <v>0</v>
      </c>
      <c r="F81" s="241">
        <f ca="1">IF(AND(Limits!$Q$21=TRUE,Daten!O81=1)=TRUE,1,0)</f>
        <v>0</v>
      </c>
      <c r="G81" s="242">
        <f>IF(AND(Limits!$Q$25=TRUE,Daten!N81=1)=TRUE,1,0)</f>
        <v>0</v>
      </c>
      <c r="H81" s="242">
        <f>IF(AND(Limits!$Q$24=TRUE,Daten!M81=1)=TRUE,1,0)</f>
        <v>0</v>
      </c>
      <c r="I81" s="242">
        <f>IF(AND(Limits!$Q$23=TRUE,Daten!L81=1)=TRUE,1,0)</f>
        <v>0</v>
      </c>
      <c r="J81" s="242">
        <f>IF(AND(Limits!$Q$22=TRUE,Daten!K81=1)=TRUE,1,0)</f>
        <v>0</v>
      </c>
      <c r="K81" s="243">
        <f>IF(Daten!$V81=13,1,0)</f>
        <v>1</v>
      </c>
      <c r="L81" s="244">
        <f>IF(Daten!$V81&lt;&gt;Daten!$W81,1,IF(Daten!$V81=14,1,0))</f>
        <v>1</v>
      </c>
      <c r="M81" s="244">
        <f>IF(Daten!$V81&lt;&gt;Daten!$W81,1,IF(Daten!$V81=16,1,0))</f>
        <v>1</v>
      </c>
      <c r="N81" s="244">
        <f>IF(Daten!$W81=17,1,0)</f>
        <v>1</v>
      </c>
      <c r="O81" s="245">
        <f ca="1">IF(Daten!$X81=Sprache!$A$70,1,0)</f>
        <v>0</v>
      </c>
      <c r="P81" s="217">
        <f>IF(AND(Daten!$AQ81&lt;=KINVARO!$AW$3,Daten!$AR81&gt;=KINVARO!$AW$3)=TRUE,1,0)</f>
        <v>1</v>
      </c>
      <c r="Q81" s="218">
        <f>IF(AND(Daten!$AA81&lt;=KINVARO!$AW$4,Daten!$AB81&gt;=KINVARO!$AW$4)=TRUE,1,0)</f>
        <v>0</v>
      </c>
      <c r="R81" s="218"/>
      <c r="S81" s="218">
        <f>IF(AND(Daten!$AD81&lt;=Limits!$I$70,Daten!$AE81&gt;=Limits!$I$70)=TRUE,1,0)</f>
        <v>1</v>
      </c>
      <c r="T81" s="219">
        <f ca="1">IF(Daten!$Y81=Sprache!$A$135,1,0)</f>
        <v>0</v>
      </c>
      <c r="U81" s="220" t="str">
        <f ca="1">Sprache!$A$61</f>
        <v>F-20 Складной подъемник</v>
      </c>
      <c r="V81" s="221">
        <v>13</v>
      </c>
      <c r="W81" s="219">
        <v>17</v>
      </c>
      <c r="X81" s="220" t="str">
        <f ca="1">Sprache!$A$141</f>
        <v>Alu</v>
      </c>
      <c r="Y81" s="220" t="str">
        <f ca="1">Sprache!$A$136</f>
        <v>nein</v>
      </c>
      <c r="Z81" s="220" t="str">
        <f ca="1">Sprache!$A$79</f>
        <v>Створка</v>
      </c>
      <c r="AA81" s="220">
        <v>801</v>
      </c>
      <c r="AB81" s="132">
        <v>849</v>
      </c>
      <c r="AC81" s="220"/>
      <c r="AD81" s="222">
        <v>7.8</v>
      </c>
      <c r="AE81" s="223">
        <v>18</v>
      </c>
      <c r="AF81" s="272" t="str">
        <f>MID(Tabelle2[[#This Row],[bnr full]],1,4)</f>
        <v>F152</v>
      </c>
      <c r="AG81" s="273" t="str">
        <f>MID(Tabelle2[[#This Row],[bnr full]],5,3)</f>
        <v>145</v>
      </c>
      <c r="AH81" s="274" t="str">
        <f>MID(Tabelle2[[#This Row],[bnr full]],8,3)</f>
        <v>247</v>
      </c>
      <c r="AI81" s="273" t="str">
        <f>MID(Tabelle2[[#This Row],[bnr full]],11,3)</f>
        <v>201</v>
      </c>
      <c r="AJ81" s="255" t="str">
        <f>MID(Tabelle2[[#This Row],[bnr full]],11,3)</f>
        <v>201</v>
      </c>
      <c r="AK81" s="224" t="s">
        <v>784</v>
      </c>
      <c r="AL81" s="132" t="str">
        <f ca="1">Sprache!$A$111</f>
        <v>Комплект (Л + П)</v>
      </c>
      <c r="AM81" s="220" t="str">
        <f ca="1">Sprache!$A$119</f>
        <v>Направляющий рычаг, тип 7</v>
      </c>
      <c r="AN81" s="220" t="str">
        <f ca="1">Sprache!$A$123</f>
        <v>Силовой механизм D</v>
      </c>
      <c r="AO81" s="220" t="str">
        <f ca="1">Sprache!$A$144</f>
        <v>Адаптер под алюминиевые рамки к комплекту Kinvaro F-20</v>
      </c>
      <c r="AP81" s="246" t="s">
        <v>815</v>
      </c>
      <c r="AQ81" s="220">
        <v>400</v>
      </c>
      <c r="AR81" s="132">
        <v>1200</v>
      </c>
      <c r="AS81" s="220" t="str">
        <f ca="1">CONCATENATE("TIOMOS 110° ",Sprache!$A$150)</f>
        <v>TIOMOS 110° Шарнир для алюминиевой рамки</v>
      </c>
      <c r="AT81" s="220" t="str">
        <f ca="1">CONCATENATE("1D° ",Sprache!$A$149)</f>
        <v>1D° Монтажная плита</v>
      </c>
    </row>
    <row r="82" spans="1:55" s="117" customFormat="1" x14ac:dyDescent="0.25">
      <c r="A82" s="12" t="str">
        <f ca="1">IF(F82+G82+H82+I82+J82+D82+E82=3,IF(Tabelle2[[#This Row],[Kappe Weiß]]=Limits!$R$29,1,""),"")</f>
        <v/>
      </c>
      <c r="B82" s="12" t="str">
        <f ca="1">IF(G82+H82+I82+J82+E82+F82=2,IF(Tabelle2[[#This Row],[Kappe Weiß]]=Limits!$R$29,1,""),"")</f>
        <v/>
      </c>
      <c r="C82" s="291">
        <v>0</v>
      </c>
      <c r="D82" s="171">
        <f>IF(Limits!$P$3=TRUE,1,0)</f>
        <v>1</v>
      </c>
      <c r="E82" s="172">
        <f>IF(Daten!$P82+Daten!$Q82+Daten!$S82=3,1,0)</f>
        <v>0</v>
      </c>
      <c r="F82" s="173">
        <f ca="1">IF(AND(Limits!$Q$21=TRUE,Daten!O82=1)=TRUE,1,0)</f>
        <v>1</v>
      </c>
      <c r="G82" s="174">
        <f ca="1">IF(AND(Limits!$Q$25=TRUE,Daten!N82=1)=TRUE,1,0)</f>
        <v>0</v>
      </c>
      <c r="H82" s="174">
        <f ca="1">IF(AND(Limits!$Q$24=TRUE,Daten!M82=1)=TRUE,1,0)</f>
        <v>0</v>
      </c>
      <c r="I82" s="174">
        <f ca="1">IF(AND(Limits!$Q$23=TRUE,Daten!L82=1)=TRUE,1,0)</f>
        <v>0</v>
      </c>
      <c r="J82" s="174">
        <f ca="1">IF(AND(Limits!$Q$22=TRUE,Daten!K82=1)=TRUE,1,0)</f>
        <v>0</v>
      </c>
      <c r="K82" s="188">
        <f ca="1">IF(Daten!$V82=13,1,0)</f>
        <v>0</v>
      </c>
      <c r="L82" s="189">
        <f ca="1">IF(Daten!$V82&lt;&gt;Daten!$W82,1,IF(Daten!$V82=14,1,0))</f>
        <v>0</v>
      </c>
      <c r="M82" s="189">
        <f ca="1">IF(Daten!$V82&lt;&gt;Daten!$W82,1,IF(Daten!$V82=16,1,0))</f>
        <v>0</v>
      </c>
      <c r="N82" s="189">
        <f ca="1">IF(Daten!$W82=17,1,0)</f>
        <v>0</v>
      </c>
      <c r="O82" s="190">
        <f ca="1">IF(Daten!$X82=Sprache!$A$70,1,0)</f>
        <v>1</v>
      </c>
      <c r="P82" s="191">
        <f>IF(AND(Daten!$AQ82&lt;=KINVARO!$AW$3,Daten!$AR82&gt;=KINVARO!$AW$3)=TRUE,1,0)</f>
        <v>1</v>
      </c>
      <c r="Q82" s="192">
        <f>IF(AND(Daten!$AA82&lt;=KINVARO!$AW$4,Daten!$AB82&gt;=KINVARO!$AW$4)=TRUE,1,0)</f>
        <v>0</v>
      </c>
      <c r="R82" s="192"/>
      <c r="S82" s="192">
        <f>IF(AND(Daten!$AD82&lt;=Limits!$I$70,Daten!$AE82&gt;=Limits!$I$70)=TRUE,1,0)</f>
        <v>1</v>
      </c>
      <c r="T82" s="193">
        <f ca="1">IF(Daten!$Y82=Sprache!$A$135,1,0)</f>
        <v>0</v>
      </c>
      <c r="U82" s="187" t="str">
        <f ca="1">Sprache!$A$61</f>
        <v>F-20 Складной подъемник</v>
      </c>
      <c r="V82" s="202" t="str">
        <f ca="1">Sprache!$A$74</f>
        <v>var</v>
      </c>
      <c r="W82" s="200" t="str">
        <f ca="1">Sprache!$A$74</f>
        <v>var</v>
      </c>
      <c r="X82" s="203" t="str">
        <f ca="1">Sprache!$A$70</f>
        <v>соединение с древесиной</v>
      </c>
      <c r="Y82" s="187" t="str">
        <f ca="1">Sprache!$A$136</f>
        <v>nein</v>
      </c>
      <c r="Z82" s="187" t="str">
        <f ca="1">Sprache!$A$79</f>
        <v>Створка</v>
      </c>
      <c r="AA82" s="187">
        <v>850</v>
      </c>
      <c r="AB82" s="124">
        <v>900</v>
      </c>
      <c r="AC82" s="187"/>
      <c r="AD82" s="195">
        <v>6.5</v>
      </c>
      <c r="AE82" s="196">
        <v>16.5</v>
      </c>
      <c r="AF82" s="263" t="str">
        <f>MID(Tabelle2[[#This Row],[bnr full]],1,4)</f>
        <v>F152</v>
      </c>
      <c r="AG82" s="264" t="str">
        <f>MID(Tabelle2[[#This Row],[bnr full]],5,3)</f>
        <v>145</v>
      </c>
      <c r="AH82" s="265" t="str">
        <f>MID(Tabelle2[[#This Row],[bnr full]],8,3)</f>
        <v>247</v>
      </c>
      <c r="AI82" s="264" t="str">
        <f>MID(Tabelle2[[#This Row],[bnr full]],11,3)</f>
        <v>201</v>
      </c>
      <c r="AJ82" s="252" t="str">
        <f>MID(Tabelle2[[#This Row],[bnr full]],11,3)</f>
        <v>201</v>
      </c>
      <c r="AK82" s="197" t="s">
        <v>784</v>
      </c>
      <c r="AL82" s="124" t="str">
        <f ca="1">Sprache!$A$111</f>
        <v>Комплект (Л + П)</v>
      </c>
      <c r="AM82" s="187" t="str">
        <f ca="1">Sprache!$A$119</f>
        <v>Направляющий рычаг, тип 7</v>
      </c>
      <c r="AN82" s="187" t="str">
        <f ca="1">Sprache!$A$123</f>
        <v>Силовой механизм D</v>
      </c>
      <c r="AO82" s="187" t="s">
        <v>25</v>
      </c>
      <c r="AP82" s="187" t="s">
        <v>25</v>
      </c>
      <c r="AQ82" s="187">
        <v>400</v>
      </c>
      <c r="AR82" s="124">
        <v>1200</v>
      </c>
      <c r="AS82" s="187" t="str">
        <f ca="1">CONCATENATE("TIOMOS 120° ",Sprache!$A$98)</f>
        <v>TIOMOS 120° Шарнир</v>
      </c>
      <c r="AT82" s="187" t="str">
        <f ca="1">CONCATENATE("1D° ",Sprache!$A$149)</f>
        <v>1D° Монтажная плита</v>
      </c>
    </row>
    <row r="83" spans="1:55" s="117" customFormat="1" ht="15.75" thickBot="1" x14ac:dyDescent="0.3">
      <c r="A83" s="12" t="str">
        <f ca="1">IF(F83+G83+H83+I83+J83+D83+E83=3,IF(Tabelle2[[#This Row],[Kappe Weiß]]=Limits!$R$29,1,""),"")</f>
        <v/>
      </c>
      <c r="B83" s="12" t="str">
        <f ca="1">IF(G83+H83+I83+J83+E83+F83=2,IF(Tabelle2[[#This Row],[Kappe Weiß]]=Limits!$R$29,1,""),"")</f>
        <v/>
      </c>
      <c r="C83" s="291">
        <v>0</v>
      </c>
      <c r="D83" s="171">
        <f>IF(Limits!$P$3=TRUE,1,0)</f>
        <v>1</v>
      </c>
      <c r="E83" s="172">
        <f>IF(Daten!$P83+Daten!$Q83+Daten!$S83=3,1,0)</f>
        <v>0</v>
      </c>
      <c r="F83" s="173">
        <f ca="1">IF(AND(Limits!$Q$21=TRUE,Daten!O83=1)=TRUE,1,0)</f>
        <v>0</v>
      </c>
      <c r="G83" s="174">
        <f>IF(AND(Limits!$Q$25=TRUE,Daten!N83=1)=TRUE,1,0)</f>
        <v>0</v>
      </c>
      <c r="H83" s="174">
        <f>IF(AND(Limits!$Q$24=TRUE,Daten!M83=1)=TRUE,1,0)</f>
        <v>0</v>
      </c>
      <c r="I83" s="174">
        <f>IF(AND(Limits!$Q$23=TRUE,Daten!L83=1)=TRUE,1,0)</f>
        <v>0</v>
      </c>
      <c r="J83" s="174">
        <f>IF(AND(Limits!$Q$22=TRUE,Daten!K83=1)=TRUE,1,0)</f>
        <v>0</v>
      </c>
      <c r="K83" s="188">
        <f>IF(Daten!$V83=13,1,0)</f>
        <v>1</v>
      </c>
      <c r="L83" s="189">
        <f>IF(Daten!$V83&lt;&gt;Daten!$W83,1,IF(Daten!$V83=14,1,0))</f>
        <v>1</v>
      </c>
      <c r="M83" s="189">
        <f>IF(Daten!$V83&lt;&gt;Daten!$W83,1,IF(Daten!$V83=16,1,0))</f>
        <v>1</v>
      </c>
      <c r="N83" s="189">
        <f>IF(Daten!$W83=17,1,0)</f>
        <v>1</v>
      </c>
      <c r="O83" s="190">
        <f ca="1">IF(Daten!$X83=Sprache!$A$70,1,0)</f>
        <v>0</v>
      </c>
      <c r="P83" s="191">
        <f>IF(AND(Daten!$AQ83&lt;=KINVARO!$AW$3,Daten!$AR83&gt;=KINVARO!$AW$3)=TRUE,1,0)</f>
        <v>1</v>
      </c>
      <c r="Q83" s="192">
        <f>IF(AND(Daten!$AA83&lt;=KINVARO!$AW$4,Daten!$AB83&gt;=KINVARO!$AW$4)=TRUE,1,0)</f>
        <v>0</v>
      </c>
      <c r="R83" s="192"/>
      <c r="S83" s="192">
        <f>IF(AND(Daten!$AD83&lt;=Limits!$I$70,Daten!$AE83&gt;=Limits!$I$70)=TRUE,1,0)</f>
        <v>1</v>
      </c>
      <c r="T83" s="193">
        <f ca="1">IF(Daten!$Y83=Sprache!$A$135,1,0)</f>
        <v>0</v>
      </c>
      <c r="U83" s="187" t="str">
        <f ca="1">Sprache!$A$61</f>
        <v>F-20 Складной подъемник</v>
      </c>
      <c r="V83" s="221">
        <v>13</v>
      </c>
      <c r="W83" s="219">
        <v>17</v>
      </c>
      <c r="X83" s="220" t="str">
        <f ca="1">Sprache!$A$141</f>
        <v>Alu</v>
      </c>
      <c r="Y83" s="187" t="str">
        <f ca="1">Sprache!$A$136</f>
        <v>nein</v>
      </c>
      <c r="Z83" s="187" t="str">
        <f ca="1">Sprache!$A$79</f>
        <v>Створка</v>
      </c>
      <c r="AA83" s="187">
        <v>850</v>
      </c>
      <c r="AB83" s="124">
        <v>900</v>
      </c>
      <c r="AC83" s="187"/>
      <c r="AD83" s="195">
        <v>6.5</v>
      </c>
      <c r="AE83" s="196">
        <v>16.5</v>
      </c>
      <c r="AF83" s="263" t="str">
        <f>MID(Tabelle2[[#This Row],[bnr full]],1,4)</f>
        <v>F152</v>
      </c>
      <c r="AG83" s="264" t="str">
        <f>MID(Tabelle2[[#This Row],[bnr full]],5,3)</f>
        <v>145</v>
      </c>
      <c r="AH83" s="265" t="str">
        <f>MID(Tabelle2[[#This Row],[bnr full]],8,3)</f>
        <v>247</v>
      </c>
      <c r="AI83" s="264" t="str">
        <f>MID(Tabelle2[[#This Row],[bnr full]],11,3)</f>
        <v>201</v>
      </c>
      <c r="AJ83" s="252" t="str">
        <f>MID(Tabelle2[[#This Row],[bnr full]],11,3)</f>
        <v>201</v>
      </c>
      <c r="AK83" s="224" t="s">
        <v>784</v>
      </c>
      <c r="AL83" s="124" t="str">
        <f ca="1">Sprache!$A$111</f>
        <v>Комплект (Л + П)</v>
      </c>
      <c r="AM83" s="220" t="str">
        <f ca="1">Sprache!$A$119</f>
        <v>Направляющий рычаг, тип 7</v>
      </c>
      <c r="AN83" s="220" t="str">
        <f ca="1">Sprache!$A$123</f>
        <v>Силовой механизм D</v>
      </c>
      <c r="AO83" s="187" t="str">
        <f ca="1">Sprache!$A$144</f>
        <v>Адаптер под алюминиевые рамки к комплекту Kinvaro F-20</v>
      </c>
      <c r="AP83" s="187" t="s">
        <v>815</v>
      </c>
      <c r="AQ83" s="220">
        <v>400</v>
      </c>
      <c r="AR83" s="132">
        <v>1200</v>
      </c>
      <c r="AS83" s="220" t="str">
        <f ca="1">CONCATENATE("TIOMOS 110° ",Sprache!$A$150)</f>
        <v>TIOMOS 110° Шарнир для алюминиевой рамки</v>
      </c>
      <c r="AT83" s="220" t="str">
        <f ca="1">CONCATENATE("1D° ",Sprache!$A$149)</f>
        <v>1D° Монтажная плита</v>
      </c>
    </row>
    <row r="84" spans="1:55" ht="15.75" thickTop="1" x14ac:dyDescent="0.25">
      <c r="A84" s="12" t="str">
        <f ca="1">IF(F84+G84+H84+I84+J84+D84+E84=3,IF(Tabelle2[[#This Row],[Kappe Weiß]]=Limits!$R$29,1,""),"")</f>
        <v/>
      </c>
      <c r="B84" s="12" t="str">
        <f ca="1">IF(G84+H84+I84+J84+E84+F84=2,IF(Tabelle2[[#This Row],[Kappe Weiß]]=Limits!$R$29,1,""),"")</f>
        <v/>
      </c>
      <c r="C84" s="293">
        <v>1</v>
      </c>
      <c r="D84" s="171">
        <f>IF(Limits!$P$3=TRUE,1,0)</f>
        <v>1</v>
      </c>
      <c r="E84" s="172">
        <f>IF(Daten!$P84+Daten!$Q84+Daten!$S84=3,1,0)</f>
        <v>0</v>
      </c>
      <c r="F84" s="173">
        <f ca="1">IF(AND(Limits!$Q$21=TRUE,Daten!O84=1)=TRUE,1,0)</f>
        <v>1</v>
      </c>
      <c r="G84" s="174">
        <f ca="1">IF(AND(Limits!$Q$25=TRUE,Daten!N84=1)=TRUE,1,0)</f>
        <v>0</v>
      </c>
      <c r="H84" s="174">
        <f ca="1">IF(AND(Limits!$Q$24=TRUE,Daten!M84=1)=TRUE,1,0)</f>
        <v>0</v>
      </c>
      <c r="I84" s="174">
        <f ca="1">IF(AND(Limits!$Q$23=TRUE,Daten!L84=1)=TRUE,1,0)</f>
        <v>0</v>
      </c>
      <c r="J84" s="174">
        <f ca="1">IF(AND(Limits!$Q$22=TRUE,Daten!K84=1)=TRUE,1,0)</f>
        <v>0</v>
      </c>
      <c r="K84" s="188">
        <f ca="1">IF(Daten!$V84=13,1,0)</f>
        <v>0</v>
      </c>
      <c r="L84" s="189">
        <f ca="1">IF(Daten!$V84&lt;&gt;Daten!$W84,1,IF(Daten!$V84=14,1,0))</f>
        <v>0</v>
      </c>
      <c r="M84" s="189">
        <f ca="1">IF(Daten!$V84&lt;&gt;Daten!$W84,1,IF(Daten!$V84=16,1,0))</f>
        <v>0</v>
      </c>
      <c r="N84" s="189">
        <f ca="1">IF(Daten!$W84=17,1,0)</f>
        <v>0</v>
      </c>
      <c r="O84" s="190">
        <f ca="1">IF(Daten!$X84=Sprache!$A$70,1,0)</f>
        <v>1</v>
      </c>
      <c r="P84" s="208">
        <f>IF(AND(Daten!$AQ84&lt;=KINVARO!$AW$3,Daten!$AR84&gt;=KINVARO!$AW$3)=TRUE,1,0)</f>
        <v>1</v>
      </c>
      <c r="Q84" s="209">
        <f>IF(AND(Daten!$AA84&lt;=KINVARO!$AW$4,Daten!$AB84&gt;=KINVARO!$AW$4)=TRUE,1,0)</f>
        <v>0</v>
      </c>
      <c r="R84" s="209"/>
      <c r="S84" s="209">
        <f>IF(AND(Daten!$AD84&lt;=Limits!$I$70,Daten!$AE84&gt;=Limits!$I$70)=TRUE,1,0)</f>
        <v>1</v>
      </c>
      <c r="T84" s="210">
        <f ca="1">IF(Daten!$Y84=Sprache!$A$135,1,0)</f>
        <v>0</v>
      </c>
      <c r="U84" s="211" t="str">
        <f ca="1">Sprache!$A$61</f>
        <v>F-20 Складной подъемник</v>
      </c>
      <c r="V84" s="212" t="str">
        <f ca="1">Sprache!$A$74</f>
        <v>var</v>
      </c>
      <c r="W84" s="210" t="str">
        <f ca="1">Sprache!$A$74</f>
        <v>var</v>
      </c>
      <c r="X84" s="213" t="str">
        <f ca="1">Sprache!$A$70</f>
        <v>соединение с древесиной</v>
      </c>
      <c r="Y84" s="187" t="str">
        <f ca="1">Sprache!$A$136</f>
        <v>nein</v>
      </c>
      <c r="Z84" s="213" t="str">
        <f ca="1">Sprache!$A$106</f>
        <v>Korpus</v>
      </c>
      <c r="AA84" s="213">
        <v>520</v>
      </c>
      <c r="AB84" s="211">
        <v>559</v>
      </c>
      <c r="AC84" s="213"/>
      <c r="AD84" s="214">
        <v>4.5999999999999996</v>
      </c>
      <c r="AE84" s="215">
        <v>13.8</v>
      </c>
      <c r="AF84" s="269" t="str">
        <f>MID(Tabelle2[[#This Row],[bnr full]],1,4)</f>
        <v>F152</v>
      </c>
      <c r="AG84" s="270" t="str">
        <f>MID(Tabelle2[[#This Row],[bnr full]],5,3)</f>
        <v>147</v>
      </c>
      <c r="AH84" s="271" t="str">
        <f>MID(Tabelle2[[#This Row],[bnr full]],8,3)</f>
        <v>837</v>
      </c>
      <c r="AI84" s="270" t="str">
        <f>MID(Tabelle2[[#This Row],[bnr full]],11,3)</f>
        <v>201</v>
      </c>
      <c r="AJ84" s="254" t="str">
        <f>MID(Tabelle2[[#This Row],[bnr full]],11,3)</f>
        <v>201</v>
      </c>
      <c r="AK84" s="216" t="s">
        <v>1630</v>
      </c>
      <c r="AL84" s="211" t="str">
        <f ca="1">Sprache!$A$111</f>
        <v>Комплект (Л + П)</v>
      </c>
      <c r="AM84" s="213" t="str">
        <f ca="1">Sprache!$A$114</f>
        <v>Направляющий рычаг, тип 2</v>
      </c>
      <c r="AN84" s="213" t="str">
        <f ca="1">Sprache!$A$121</f>
        <v>Силовой механизм B</v>
      </c>
      <c r="AO84" s="213" t="s">
        <v>25</v>
      </c>
      <c r="AP84" s="213" t="s">
        <v>25</v>
      </c>
      <c r="AQ84" s="213">
        <v>400</v>
      </c>
      <c r="AR84" s="211">
        <v>1200</v>
      </c>
      <c r="AS84" s="187" t="str">
        <f ca="1">CONCATENATE("TIOMOS 120° ",Sprache!$A$98)</f>
        <v>TIOMOS 120° Шарнир</v>
      </c>
      <c r="AT84" s="187" t="str">
        <f ca="1">CONCATENATE("1D° ",Sprache!$A$149)</f>
        <v>1D° Монтажная плита</v>
      </c>
      <c r="AU84"/>
      <c r="AV84"/>
      <c r="AY84"/>
      <c r="AZ84"/>
      <c r="BA84"/>
      <c r="BB84"/>
      <c r="BC84"/>
    </row>
    <row r="85" spans="1:55" x14ac:dyDescent="0.25">
      <c r="A85" s="12" t="str">
        <f ca="1">IF(F85+G85+H85+I85+J85+D85+E85=3,IF(Tabelle2[[#This Row],[Kappe Weiß]]=Limits!$R$29,1,""),"")</f>
        <v/>
      </c>
      <c r="B85" s="12" t="str">
        <f ca="1">IF(G85+H85+I85+J85+E85+F85=2,IF(Tabelle2[[#This Row],[Kappe Weiß]]=Limits!$R$29,1,""),"")</f>
        <v/>
      </c>
      <c r="C85" s="291">
        <v>1</v>
      </c>
      <c r="D85" s="171">
        <f>IF(Limits!$P$3=TRUE,1,0)</f>
        <v>1</v>
      </c>
      <c r="E85" s="172">
        <f>IF(Daten!$P85+Daten!$Q85+Daten!$S85=3,1,0)</f>
        <v>0</v>
      </c>
      <c r="F85" s="173">
        <f ca="1">IF(AND(Limits!$Q$21=TRUE,Daten!O85=1)=TRUE,1,0)</f>
        <v>0</v>
      </c>
      <c r="G85" s="174">
        <f>IF(AND(Limits!$Q$25=TRUE,Daten!N85=1)=TRUE,1,0)</f>
        <v>0</v>
      </c>
      <c r="H85" s="174">
        <f>IF(AND(Limits!$Q$24=TRUE,Daten!M85=1)=TRUE,1,0)</f>
        <v>0</v>
      </c>
      <c r="I85" s="174">
        <f>IF(AND(Limits!$Q$23=TRUE,Daten!L85=1)=TRUE,1,0)</f>
        <v>0</v>
      </c>
      <c r="J85" s="174">
        <f>IF(AND(Limits!$Q$22=TRUE,Daten!K85=1)=TRUE,1,0)</f>
        <v>0</v>
      </c>
      <c r="K85" s="188">
        <f>IF(Daten!$V85=13,1,0)</f>
        <v>1</v>
      </c>
      <c r="L85" s="189">
        <f>IF(Daten!$V85&lt;&gt;Daten!$W85,1,IF(Daten!$V85=14,1,0))</f>
        <v>1</v>
      </c>
      <c r="M85" s="189">
        <f>IF(Daten!$V85&lt;&gt;Daten!$W85,1,IF(Daten!$V85=16,1,0))</f>
        <v>1</v>
      </c>
      <c r="N85" s="189">
        <f>IF(Daten!$W85=17,1,0)</f>
        <v>1</v>
      </c>
      <c r="O85" s="190">
        <f ca="1">IF(Daten!$X85=Sprache!$A$70,1,0)</f>
        <v>0</v>
      </c>
      <c r="P85" s="191">
        <f>IF(AND(Daten!$AQ85&lt;=KINVARO!$AW$3,Daten!$AR85&gt;=KINVARO!$AW$3)=TRUE,1,0)</f>
        <v>1</v>
      </c>
      <c r="Q85" s="192">
        <f>IF(AND(Daten!$AA85&lt;=KINVARO!$AW$4,Daten!$AB85&gt;=KINVARO!$AW$4)=TRUE,1,0)</f>
        <v>0</v>
      </c>
      <c r="R85" s="192"/>
      <c r="S85" s="192">
        <f>IF(AND(Daten!$AD85&lt;=Limits!$I$70,Daten!$AE85&gt;=Limits!$I$70)=TRUE,1,0)</f>
        <v>1</v>
      </c>
      <c r="T85" s="193">
        <f ca="1">IF(Daten!$Y85=Sprache!$A$135,1,0)</f>
        <v>0</v>
      </c>
      <c r="U85" s="124" t="str">
        <f ca="1">Sprache!$A$61</f>
        <v>F-20 Складной подъемник</v>
      </c>
      <c r="V85" s="194">
        <v>13</v>
      </c>
      <c r="W85" s="193">
        <v>17</v>
      </c>
      <c r="X85" s="187" t="str">
        <f ca="1">Sprache!$A$141</f>
        <v>Alu</v>
      </c>
      <c r="Y85" s="187" t="str">
        <f ca="1">Sprache!$A$136</f>
        <v>nein</v>
      </c>
      <c r="Z85" s="187" t="str">
        <f ca="1">Sprache!$A$106</f>
        <v>Korpus</v>
      </c>
      <c r="AA85" s="187">
        <v>520</v>
      </c>
      <c r="AB85" s="124">
        <v>559</v>
      </c>
      <c r="AC85" s="187"/>
      <c r="AD85" s="195">
        <v>4.5999999999999996</v>
      </c>
      <c r="AE85" s="196">
        <v>13.8</v>
      </c>
      <c r="AF85" s="263" t="str">
        <f>MID(Tabelle2[[#This Row],[bnr full]],1,4)</f>
        <v>F152</v>
      </c>
      <c r="AG85" s="264" t="str">
        <f>MID(Tabelle2[[#This Row],[bnr full]],5,3)</f>
        <v>147</v>
      </c>
      <c r="AH85" s="265" t="str">
        <f>MID(Tabelle2[[#This Row],[bnr full]],8,3)</f>
        <v>837</v>
      </c>
      <c r="AI85" s="264" t="str">
        <f>MID(Tabelle2[[#This Row],[bnr full]],11,3)</f>
        <v>201</v>
      </c>
      <c r="AJ85" s="252" t="str">
        <f>MID(Tabelle2[[#This Row],[bnr full]],11,3)</f>
        <v>201</v>
      </c>
      <c r="AK85" s="197" t="s">
        <v>1630</v>
      </c>
      <c r="AL85" s="124" t="str">
        <f ca="1">Sprache!$A$111</f>
        <v>Комплект (Л + П)</v>
      </c>
      <c r="AM85" s="187" t="str">
        <f ca="1">Sprache!$A$114</f>
        <v>Направляющий рычаг, тип 2</v>
      </c>
      <c r="AN85" s="187" t="str">
        <f ca="1">Sprache!$A$121</f>
        <v>Силовой механизм B</v>
      </c>
      <c r="AO85" s="187" t="str">
        <f ca="1">Sprache!$A$144</f>
        <v>Адаптер под алюминиевые рамки к комплекту Kinvaro F-20</v>
      </c>
      <c r="AP85" s="187" t="s">
        <v>815</v>
      </c>
      <c r="AQ85" s="187">
        <v>400</v>
      </c>
      <c r="AR85" s="124">
        <v>1200</v>
      </c>
      <c r="AS85" s="187" t="str">
        <f ca="1">CONCATENATE("TIOMOS 110° ",Sprache!$A$150)</f>
        <v>TIOMOS 110° Шарнир для алюминиевой рамки</v>
      </c>
      <c r="AT85" s="187" t="str">
        <f ca="1">CONCATENATE("1D° ",Sprache!$A$149)</f>
        <v>1D° Монтажная плита</v>
      </c>
      <c r="AU85"/>
      <c r="AV85"/>
      <c r="AY85"/>
      <c r="AZ85"/>
      <c r="BA85"/>
      <c r="BB85"/>
      <c r="BC85"/>
    </row>
    <row r="86" spans="1:55" x14ac:dyDescent="0.25">
      <c r="A86" s="12" t="str">
        <f ca="1">IF(F86+G86+H86+I86+J86+D86+E86=3,IF(Tabelle2[[#This Row],[Kappe Weiß]]=Limits!$R$29,1,""),"")</f>
        <v/>
      </c>
      <c r="B86" s="12" t="str">
        <f ca="1">IF(G86+H86+I86+J86+E86+F86=2,IF(Tabelle2[[#This Row],[Kappe Weiß]]=Limits!$R$29,1,""),"")</f>
        <v/>
      </c>
      <c r="C86" s="292">
        <v>1</v>
      </c>
      <c r="D86" s="171">
        <f>IF(Limits!$P$3=TRUE,1,0)</f>
        <v>1</v>
      </c>
      <c r="E86" s="172">
        <f>IF(Daten!$P86+Daten!$Q86+Daten!$S86=3,1,0)</f>
        <v>0</v>
      </c>
      <c r="F86" s="173">
        <f ca="1">IF(AND(Limits!$Q$21=TRUE,Daten!O86=1)=TRUE,1,0)</f>
        <v>1</v>
      </c>
      <c r="G86" s="174">
        <f ca="1">IF(AND(Limits!$Q$25=TRUE,Daten!N86=1)=TRUE,1,0)</f>
        <v>0</v>
      </c>
      <c r="H86" s="174">
        <f ca="1">IF(AND(Limits!$Q$24=TRUE,Daten!M86=1)=TRUE,1,0)</f>
        <v>0</v>
      </c>
      <c r="I86" s="174">
        <f ca="1">IF(AND(Limits!$Q$23=TRUE,Daten!L86=1)=TRUE,1,0)</f>
        <v>0</v>
      </c>
      <c r="J86" s="174">
        <f ca="1">IF(AND(Limits!$Q$22=TRUE,Daten!K86=1)=TRUE,1,0)</f>
        <v>0</v>
      </c>
      <c r="K86" s="188">
        <f ca="1">IF(Daten!$V86=13,1,0)</f>
        <v>0</v>
      </c>
      <c r="L86" s="189">
        <f ca="1">IF(Daten!$V86&lt;&gt;Daten!$W86,1,IF(Daten!$V86=14,1,0))</f>
        <v>0</v>
      </c>
      <c r="M86" s="189">
        <f ca="1">IF(Daten!$V86&lt;&gt;Daten!$W86,1,IF(Daten!$V86=16,1,0))</f>
        <v>0</v>
      </c>
      <c r="N86" s="189">
        <f ca="1">IF(Daten!$W86=17,1,0)</f>
        <v>0</v>
      </c>
      <c r="O86" s="190">
        <f ca="1">IF(Daten!$X86=Sprache!$A$70,1,0)</f>
        <v>1</v>
      </c>
      <c r="P86" s="198">
        <f>IF(AND(Daten!$AQ86&lt;=KINVARO!$AW$3,Daten!$AR86&gt;=KINVARO!$AW$3)=TRUE,1,0)</f>
        <v>1</v>
      </c>
      <c r="Q86" s="199">
        <f>IF(AND(Daten!$AA86&lt;=KINVARO!$AW$4,Daten!$AB86&gt;=KINVARO!$AW$4)=TRUE,1,0)</f>
        <v>0</v>
      </c>
      <c r="R86" s="199"/>
      <c r="S86" s="199">
        <f>IF(AND(Daten!$AD86&lt;=Limits!$I$70,Daten!$AE86&gt;=Limits!$I$70)=TRUE,1,0)</f>
        <v>1</v>
      </c>
      <c r="T86" s="200">
        <f ca="1">IF(Daten!$Y86=Sprache!$A$135,1,0)</f>
        <v>0</v>
      </c>
      <c r="U86" s="201" t="str">
        <f ca="1">Sprache!$A$61</f>
        <v>F-20 Складной подъемник</v>
      </c>
      <c r="V86" s="202" t="str">
        <f ca="1">Sprache!$A$74</f>
        <v>var</v>
      </c>
      <c r="W86" s="200" t="str">
        <f ca="1">Sprache!$A$74</f>
        <v>var</v>
      </c>
      <c r="X86" s="203" t="str">
        <f ca="1">Sprache!$A$70</f>
        <v>соединение с древесиной</v>
      </c>
      <c r="Y86" s="187" t="str">
        <f ca="1">Sprache!$A$136</f>
        <v>nein</v>
      </c>
      <c r="Z86" s="203" t="str">
        <f ca="1">Sprache!$A$106</f>
        <v>Korpus</v>
      </c>
      <c r="AA86" s="203">
        <v>560</v>
      </c>
      <c r="AB86" s="201">
        <v>599</v>
      </c>
      <c r="AC86" s="203"/>
      <c r="AD86" s="204">
        <v>4.4000000000000004</v>
      </c>
      <c r="AE86" s="205">
        <v>12.6</v>
      </c>
      <c r="AF86" s="266" t="str">
        <f>MID(Tabelle2[[#This Row],[bnr full]],1,4)</f>
        <v>F152</v>
      </c>
      <c r="AG86" s="267" t="str">
        <f>MID(Tabelle2[[#This Row],[bnr full]],5,3)</f>
        <v>147</v>
      </c>
      <c r="AH86" s="268" t="str">
        <f>MID(Tabelle2[[#This Row],[bnr full]],8,3)</f>
        <v>838</v>
      </c>
      <c r="AI86" s="267" t="str">
        <f>MID(Tabelle2[[#This Row],[bnr full]],11,3)</f>
        <v>201</v>
      </c>
      <c r="AJ86" s="253" t="str">
        <f>MID(Tabelle2[[#This Row],[bnr full]],11,3)</f>
        <v>201</v>
      </c>
      <c r="AK86" s="206" t="s">
        <v>1631</v>
      </c>
      <c r="AL86" s="201" t="str">
        <f ca="1">Sprache!$A$111</f>
        <v>Комплект (Л + П)</v>
      </c>
      <c r="AM86" s="203" t="str">
        <f ca="1">Sprache!$A$115</f>
        <v>Направляющий рычаг, тип 3</v>
      </c>
      <c r="AN86" s="203" t="str">
        <f ca="1">Sprache!$A$121</f>
        <v>Силовой механизм B</v>
      </c>
      <c r="AO86" s="203" t="s">
        <v>25</v>
      </c>
      <c r="AP86" s="203" t="s">
        <v>25</v>
      </c>
      <c r="AQ86" s="203">
        <v>400</v>
      </c>
      <c r="AR86" s="201">
        <v>1200</v>
      </c>
      <c r="AS86" s="187" t="str">
        <f ca="1">CONCATENATE("TIOMOS 120° ",Sprache!$A$98)</f>
        <v>TIOMOS 120° Шарнир</v>
      </c>
      <c r="AT86" s="187" t="str">
        <f ca="1">CONCATENATE("1D° ",Sprache!$A$149)</f>
        <v>1D° Монтажная плита</v>
      </c>
      <c r="AU86"/>
      <c r="AV86"/>
      <c r="AY86"/>
      <c r="AZ86"/>
      <c r="BA86"/>
      <c r="BB86"/>
      <c r="BC86"/>
    </row>
    <row r="87" spans="1:55" s="5" customFormat="1" x14ac:dyDescent="0.25">
      <c r="A87" s="12" t="str">
        <f ca="1">IF(F87+G87+H87+I87+J87+D87+E87=3,IF(Tabelle2[[#This Row],[Kappe Weiß]]=Limits!$R$29,1,""),"")</f>
        <v/>
      </c>
      <c r="B87" s="12" t="str">
        <f ca="1">IF(G87+H87+I87+J87+E87+F87=2,IF(Tabelle2[[#This Row],[Kappe Weiß]]=Limits!$R$29,1,""),"")</f>
        <v/>
      </c>
      <c r="C87" s="291">
        <v>1</v>
      </c>
      <c r="D87" s="171">
        <f>IF(Limits!$P$3=TRUE,1,0)</f>
        <v>1</v>
      </c>
      <c r="E87" s="172">
        <f>IF(Daten!$P87+Daten!$Q87+Daten!$S87=3,1,0)</f>
        <v>0</v>
      </c>
      <c r="F87" s="173">
        <f ca="1">IF(AND(Limits!$Q$21=TRUE,Daten!O87=1)=TRUE,1,0)</f>
        <v>1</v>
      </c>
      <c r="G87" s="174">
        <f ca="1">IF(AND(Limits!$Q$25=TRUE,Daten!N87=1)=TRUE,1,0)</f>
        <v>0</v>
      </c>
      <c r="H87" s="174">
        <f ca="1">IF(AND(Limits!$Q$24=TRUE,Daten!M87=1)=TRUE,1,0)</f>
        <v>0</v>
      </c>
      <c r="I87" s="174">
        <f ca="1">IF(AND(Limits!$Q$23=TRUE,Daten!L87=1)=TRUE,1,0)</f>
        <v>0</v>
      </c>
      <c r="J87" s="174">
        <f ca="1">IF(AND(Limits!$Q$22=TRUE,Daten!K87=1)=TRUE,1,0)</f>
        <v>0</v>
      </c>
      <c r="K87" s="188">
        <f ca="1">IF(Daten!$V87=13,1,0)</f>
        <v>0</v>
      </c>
      <c r="L87" s="189">
        <f ca="1">IF(Daten!$V87&lt;&gt;Daten!$W87,1,IF(Daten!$V87=14,1,0))</f>
        <v>0</v>
      </c>
      <c r="M87" s="189">
        <f ca="1">IF(Daten!$V87&lt;&gt;Daten!$W87,1,IF(Daten!$V87=16,1,0))</f>
        <v>0</v>
      </c>
      <c r="N87" s="189">
        <f ca="1">IF(Daten!$W87=17,1,0)</f>
        <v>0</v>
      </c>
      <c r="O87" s="190">
        <f ca="1">IF(Daten!$X87=Sprache!$A$70,1,0)</f>
        <v>1</v>
      </c>
      <c r="P87" s="191">
        <f>IF(AND(Daten!$AQ87&lt;=KINVARO!$AW$3,Daten!$AR87&gt;=KINVARO!$AW$3)=TRUE,1,0)</f>
        <v>1</v>
      </c>
      <c r="Q87" s="192">
        <f>IF(AND(Daten!$AA87&lt;=KINVARO!$AW$4,Daten!$AB87&gt;=KINVARO!$AW$4)=TRUE,1,0)</f>
        <v>0</v>
      </c>
      <c r="R87" s="192"/>
      <c r="S87" s="192">
        <f>IF(AND(Daten!$AD87&lt;=Limits!$I$70,Daten!$AE87&gt;=Limits!$I$70)=TRUE,1,0)</f>
        <v>1</v>
      </c>
      <c r="T87" s="193">
        <f ca="1">IF(Daten!$Y87=Sprache!$A$135,1,0)</f>
        <v>0</v>
      </c>
      <c r="U87" s="124" t="str">
        <f ca="1">Sprache!$A$61</f>
        <v>F-20 Складной подъемник</v>
      </c>
      <c r="V87" s="194" t="str">
        <f ca="1">Sprache!$A$74</f>
        <v>var</v>
      </c>
      <c r="W87" s="193" t="str">
        <f ca="1">Sprache!$A$74</f>
        <v>var</v>
      </c>
      <c r="X87" s="187" t="str">
        <f ca="1">Sprache!$A$70</f>
        <v>соединение с древесиной</v>
      </c>
      <c r="Y87" s="187" t="str">
        <f ca="1">Sprache!$A$136</f>
        <v>nein</v>
      </c>
      <c r="Z87" s="187" t="str">
        <f ca="1">Sprache!$A$106</f>
        <v>Korpus</v>
      </c>
      <c r="AA87" s="187">
        <v>560</v>
      </c>
      <c r="AB87" s="124">
        <v>599</v>
      </c>
      <c r="AC87" s="187"/>
      <c r="AD87" s="195">
        <v>7</v>
      </c>
      <c r="AE87" s="196">
        <v>14.7</v>
      </c>
      <c r="AF87" s="263" t="str">
        <f>MID(Tabelle2[[#This Row],[bnr full]],1,4)</f>
        <v>F152</v>
      </c>
      <c r="AG87" s="264" t="str">
        <f>MID(Tabelle2[[#This Row],[bnr full]],5,3)</f>
        <v>147</v>
      </c>
      <c r="AH87" s="265" t="str">
        <f>MID(Tabelle2[[#This Row],[bnr full]],8,3)</f>
        <v>841</v>
      </c>
      <c r="AI87" s="264" t="str">
        <f>MID(Tabelle2[[#This Row],[bnr full]],11,3)</f>
        <v>201</v>
      </c>
      <c r="AJ87" s="252" t="str">
        <f>MID(Tabelle2[[#This Row],[bnr full]],11,3)</f>
        <v>201</v>
      </c>
      <c r="AK87" s="197" t="s">
        <v>1632</v>
      </c>
      <c r="AL87" s="124" t="str">
        <f ca="1">Sprache!$A$111</f>
        <v>Комплект (Л + П)</v>
      </c>
      <c r="AM87" s="187" t="str">
        <f ca="1">Sprache!$A$115</f>
        <v>Направляющий рычаг, тип 3</v>
      </c>
      <c r="AN87" s="187" t="str">
        <f ca="1">Sprache!$A$122</f>
        <v>Силовой механизм C</v>
      </c>
      <c r="AO87" s="187" t="s">
        <v>25</v>
      </c>
      <c r="AP87" s="187" t="s">
        <v>25</v>
      </c>
      <c r="AQ87" s="187">
        <v>400</v>
      </c>
      <c r="AR87" s="124">
        <v>1200</v>
      </c>
      <c r="AS87" s="187" t="str">
        <f ca="1">CONCATENATE("TIOMOS 120° ",Sprache!$A$98)</f>
        <v>TIOMOS 120° Шарнир</v>
      </c>
      <c r="AT87" s="187" t="str">
        <f ca="1">CONCATENATE("1D° ",Sprache!$A$149)</f>
        <v>1D° Монтажная плита</v>
      </c>
    </row>
    <row r="88" spans="1:55" x14ac:dyDescent="0.25">
      <c r="A88" s="12" t="str">
        <f ca="1">IF(F88+G88+H88+I88+J88+D88+E88=3,IF(Tabelle2[[#This Row],[Kappe Weiß]]=Limits!$R$29,1,""),"")</f>
        <v/>
      </c>
      <c r="B88" s="12" t="str">
        <f ca="1">IF(G88+H88+I88+J88+E88+F88=2,IF(Tabelle2[[#This Row],[Kappe Weiß]]=Limits!$R$29,1,""),"")</f>
        <v/>
      </c>
      <c r="C88" s="291">
        <v>1</v>
      </c>
      <c r="D88" s="171">
        <f>IF(Limits!$P$3=TRUE,1,0)</f>
        <v>1</v>
      </c>
      <c r="E88" s="172">
        <f>IF(Daten!$P88+Daten!$Q88+Daten!$S88=3,1,0)</f>
        <v>0</v>
      </c>
      <c r="F88" s="173">
        <f ca="1">IF(AND(Limits!$Q$21=TRUE,Daten!O88=1)=TRUE,1,0)</f>
        <v>0</v>
      </c>
      <c r="G88" s="174">
        <f>IF(AND(Limits!$Q$25=TRUE,Daten!N88=1)=TRUE,1,0)</f>
        <v>0</v>
      </c>
      <c r="H88" s="174">
        <f>IF(AND(Limits!$Q$24=TRUE,Daten!M88=1)=TRUE,1,0)</f>
        <v>0</v>
      </c>
      <c r="I88" s="174">
        <f>IF(AND(Limits!$Q$23=TRUE,Daten!L88=1)=TRUE,1,0)</f>
        <v>0</v>
      </c>
      <c r="J88" s="174">
        <f>IF(AND(Limits!$Q$22=TRUE,Daten!K88=1)=TRUE,1,0)</f>
        <v>0</v>
      </c>
      <c r="K88" s="188">
        <f>IF(Daten!$V88=13,1,0)</f>
        <v>1</v>
      </c>
      <c r="L88" s="189">
        <f>IF(Daten!$V88&lt;&gt;Daten!$W88,1,IF(Daten!$V88=14,1,0))</f>
        <v>1</v>
      </c>
      <c r="M88" s="189">
        <f>IF(Daten!$V88&lt;&gt;Daten!$W88,1,IF(Daten!$V88=16,1,0))</f>
        <v>1</v>
      </c>
      <c r="N88" s="189">
        <f>IF(Daten!$W88=17,1,0)</f>
        <v>1</v>
      </c>
      <c r="O88" s="190">
        <f ca="1">IF(Daten!$X88=Sprache!$A$70,1,0)</f>
        <v>0</v>
      </c>
      <c r="P88" s="191">
        <f>IF(AND(Daten!$AQ88&lt;=KINVARO!$AW$3,Daten!$AR88&gt;=KINVARO!$AW$3)=TRUE,1,0)</f>
        <v>1</v>
      </c>
      <c r="Q88" s="192">
        <f>IF(AND(Daten!$AA88&lt;=KINVARO!$AW$4,Daten!$AB88&gt;=KINVARO!$AW$4)=TRUE,1,0)</f>
        <v>0</v>
      </c>
      <c r="R88" s="192"/>
      <c r="S88" s="192">
        <f>IF(AND(Daten!$AD88&lt;=Limits!$I$70,Daten!$AE88&gt;=Limits!$I$70)=TRUE,1,0)</f>
        <v>1</v>
      </c>
      <c r="T88" s="193">
        <f ca="1">IF(Daten!$Y88=Sprache!$A$135,1,0)</f>
        <v>0</v>
      </c>
      <c r="U88" s="124" t="str">
        <f ca="1">Sprache!$A$61</f>
        <v>F-20 Складной подъемник</v>
      </c>
      <c r="V88" s="194">
        <v>13</v>
      </c>
      <c r="W88" s="193">
        <v>17</v>
      </c>
      <c r="X88" s="187" t="str">
        <f ca="1">Sprache!$A$141</f>
        <v>Alu</v>
      </c>
      <c r="Y88" s="187" t="str">
        <f ca="1">Sprache!$A$136</f>
        <v>nein</v>
      </c>
      <c r="Z88" s="187" t="str">
        <f ca="1">Sprache!$A$106</f>
        <v>Korpus</v>
      </c>
      <c r="AA88" s="187">
        <v>560</v>
      </c>
      <c r="AB88" s="124">
        <v>599</v>
      </c>
      <c r="AC88" s="187"/>
      <c r="AD88" s="195">
        <v>4.4000000000000004</v>
      </c>
      <c r="AE88" s="196">
        <v>12.6</v>
      </c>
      <c r="AF88" s="263" t="str">
        <f>MID(Tabelle2[[#This Row],[bnr full]],1,4)</f>
        <v>F152</v>
      </c>
      <c r="AG88" s="264" t="str">
        <f>MID(Tabelle2[[#This Row],[bnr full]],5,3)</f>
        <v>147</v>
      </c>
      <c r="AH88" s="265" t="str">
        <f>MID(Tabelle2[[#This Row],[bnr full]],8,3)</f>
        <v>838</v>
      </c>
      <c r="AI88" s="264" t="str">
        <f>MID(Tabelle2[[#This Row],[bnr full]],11,3)</f>
        <v>201</v>
      </c>
      <c r="AJ88" s="252" t="str">
        <f>MID(Tabelle2[[#This Row],[bnr full]],11,3)</f>
        <v>201</v>
      </c>
      <c r="AK88" s="197" t="s">
        <v>1631</v>
      </c>
      <c r="AL88" s="124" t="str">
        <f ca="1">Sprache!$A$111</f>
        <v>Комплект (Л + П)</v>
      </c>
      <c r="AM88" s="187" t="str">
        <f ca="1">Sprache!$A$115</f>
        <v>Направляющий рычаг, тип 3</v>
      </c>
      <c r="AN88" s="187" t="str">
        <f ca="1">Sprache!$A$121</f>
        <v>Силовой механизм B</v>
      </c>
      <c r="AO88" s="187" t="str">
        <f ca="1">Sprache!$A$144</f>
        <v>Адаптер под алюминиевые рамки к комплекту Kinvaro F-20</v>
      </c>
      <c r="AP88" s="187" t="s">
        <v>815</v>
      </c>
      <c r="AQ88" s="187">
        <v>400</v>
      </c>
      <c r="AR88" s="124">
        <v>1200</v>
      </c>
      <c r="AS88" s="187" t="str">
        <f ca="1">CONCATENATE("TIOMOS 110° ",Sprache!$A$150)</f>
        <v>TIOMOS 110° Шарнир для алюминиевой рамки</v>
      </c>
      <c r="AT88" s="187" t="str">
        <f ca="1">CONCATENATE("1D° ",Sprache!$A$149)</f>
        <v>1D° Монтажная плита</v>
      </c>
      <c r="AU88"/>
      <c r="AV88"/>
      <c r="AY88"/>
      <c r="AZ88"/>
      <c r="BA88"/>
      <c r="BB88"/>
      <c r="BC88"/>
    </row>
    <row r="89" spans="1:55" x14ac:dyDescent="0.25">
      <c r="A89" s="12" t="str">
        <f ca="1">IF(F89+G89+H89+I89+J89+D89+E89=3,IF(Tabelle2[[#This Row],[Kappe Weiß]]=Limits!$R$29,1,""),"")</f>
        <v/>
      </c>
      <c r="B89" s="12" t="str">
        <f ca="1">IF(G89+H89+I89+J89+E89+F89=2,IF(Tabelle2[[#This Row],[Kappe Weiß]]=Limits!$R$29,1,""),"")</f>
        <v/>
      </c>
      <c r="C89" s="291">
        <v>1</v>
      </c>
      <c r="D89" s="171">
        <f>IF(Limits!$P$3=TRUE,1,0)</f>
        <v>1</v>
      </c>
      <c r="E89" s="172">
        <f>IF(Daten!$P89+Daten!$Q89+Daten!$S89=3,1,0)</f>
        <v>0</v>
      </c>
      <c r="F89" s="173">
        <f ca="1">IF(AND(Limits!$Q$21=TRUE,Daten!O89=1)=TRUE,1,0)</f>
        <v>0</v>
      </c>
      <c r="G89" s="174">
        <f>IF(AND(Limits!$Q$25=TRUE,Daten!N89=1)=TRUE,1,0)</f>
        <v>0</v>
      </c>
      <c r="H89" s="174">
        <f>IF(AND(Limits!$Q$24=TRUE,Daten!M89=1)=TRUE,1,0)</f>
        <v>0</v>
      </c>
      <c r="I89" s="174">
        <f>IF(AND(Limits!$Q$23=TRUE,Daten!L89=1)=TRUE,1,0)</f>
        <v>0</v>
      </c>
      <c r="J89" s="174">
        <f>IF(AND(Limits!$Q$22=TRUE,Daten!K89=1)=TRUE,1,0)</f>
        <v>0</v>
      </c>
      <c r="K89" s="188">
        <f>IF(Daten!$V89=13,1,0)</f>
        <v>1</v>
      </c>
      <c r="L89" s="189">
        <f>IF(Daten!$V89&lt;&gt;Daten!$W89,1,IF(Daten!$V89=14,1,0))</f>
        <v>1</v>
      </c>
      <c r="M89" s="189">
        <f>IF(Daten!$V89&lt;&gt;Daten!$W89,1,IF(Daten!$V89=16,1,0))</f>
        <v>1</v>
      </c>
      <c r="N89" s="189">
        <f>IF(Daten!$W89=17,1,0)</f>
        <v>1</v>
      </c>
      <c r="O89" s="190">
        <f ca="1">IF(Daten!$X89=Sprache!$A$70,1,0)</f>
        <v>0</v>
      </c>
      <c r="P89" s="191">
        <f>IF(AND(Daten!$AQ89&lt;=KINVARO!$AW$3,Daten!$AR89&gt;=KINVARO!$AW$3)=TRUE,1,0)</f>
        <v>1</v>
      </c>
      <c r="Q89" s="192">
        <f>IF(AND(Daten!$AA89&lt;=KINVARO!$AW$4,Daten!$AB89&gt;=KINVARO!$AW$4)=TRUE,1,0)</f>
        <v>0</v>
      </c>
      <c r="R89" s="192"/>
      <c r="S89" s="192">
        <f>IF(AND(Daten!$AD89&lt;=Limits!$I$70,Daten!$AE89&gt;=Limits!$I$70)=TRUE,1,0)</f>
        <v>1</v>
      </c>
      <c r="T89" s="193">
        <f ca="1">IF(Daten!$Y89=Sprache!$A$135,1,0)</f>
        <v>0</v>
      </c>
      <c r="U89" s="124" t="str">
        <f ca="1">Sprache!$A$61</f>
        <v>F-20 Складной подъемник</v>
      </c>
      <c r="V89" s="194">
        <v>13</v>
      </c>
      <c r="W89" s="193">
        <v>17</v>
      </c>
      <c r="X89" s="187" t="str">
        <f ca="1">Sprache!$A$141</f>
        <v>Alu</v>
      </c>
      <c r="Y89" s="187" t="str">
        <f ca="1">Sprache!$A$136</f>
        <v>nein</v>
      </c>
      <c r="Z89" s="187" t="str">
        <f ca="1">Sprache!$A$106</f>
        <v>Korpus</v>
      </c>
      <c r="AA89" s="187">
        <v>560</v>
      </c>
      <c r="AB89" s="124">
        <v>599</v>
      </c>
      <c r="AC89" s="187"/>
      <c r="AD89" s="195">
        <v>7</v>
      </c>
      <c r="AE89" s="196">
        <v>14.7</v>
      </c>
      <c r="AF89" s="263" t="str">
        <f>MID(Tabelle2[[#This Row],[bnr full]],1,4)</f>
        <v>F152</v>
      </c>
      <c r="AG89" s="264" t="str">
        <f>MID(Tabelle2[[#This Row],[bnr full]],5,3)</f>
        <v>147</v>
      </c>
      <c r="AH89" s="265" t="str">
        <f>MID(Tabelle2[[#This Row],[bnr full]],8,3)</f>
        <v>841</v>
      </c>
      <c r="AI89" s="264" t="str">
        <f>MID(Tabelle2[[#This Row],[bnr full]],11,3)</f>
        <v>201</v>
      </c>
      <c r="AJ89" s="252" t="str">
        <f>MID(Tabelle2[[#This Row],[bnr full]],11,3)</f>
        <v>201</v>
      </c>
      <c r="AK89" s="197" t="s">
        <v>1632</v>
      </c>
      <c r="AL89" s="124" t="str">
        <f ca="1">Sprache!$A$111</f>
        <v>Комплект (Л + П)</v>
      </c>
      <c r="AM89" s="187" t="str">
        <f ca="1">Sprache!$A$115</f>
        <v>Направляющий рычаг, тип 3</v>
      </c>
      <c r="AN89" s="187" t="str">
        <f ca="1">Sprache!$A$122</f>
        <v>Силовой механизм C</v>
      </c>
      <c r="AO89" s="187" t="str">
        <f ca="1">Sprache!$A$144</f>
        <v>Адаптер под алюминиевые рамки к комплекту Kinvaro F-20</v>
      </c>
      <c r="AP89" s="187" t="s">
        <v>815</v>
      </c>
      <c r="AQ89" s="187">
        <v>400</v>
      </c>
      <c r="AR89" s="124">
        <v>1200</v>
      </c>
      <c r="AS89" s="187" t="str">
        <f ca="1">CONCATENATE("TIOMOS 110° ",Sprache!$A$150)</f>
        <v>TIOMOS 110° Шарнир для алюминиевой рамки</v>
      </c>
      <c r="AT89" s="187" t="str">
        <f ca="1">CONCATENATE("1D° ",Sprache!$A$149)</f>
        <v>1D° Монтажная плита</v>
      </c>
      <c r="AU89"/>
      <c r="AV89"/>
      <c r="AY89"/>
      <c r="AZ89"/>
      <c r="BA89"/>
      <c r="BB89"/>
      <c r="BC89"/>
    </row>
    <row r="90" spans="1:55" x14ac:dyDescent="0.25">
      <c r="A90" s="12" t="str">
        <f ca="1">IF(F90+G90+H90+I90+J90+D90+E90=3,IF(Tabelle2[[#This Row],[Kappe Weiß]]=Limits!$R$29,1,""),"")</f>
        <v/>
      </c>
      <c r="B90" s="12" t="str">
        <f ca="1">IF(G90+H90+I90+J90+E90+F90=2,IF(Tabelle2[[#This Row],[Kappe Weiß]]=Limits!$R$29,1,""),"")</f>
        <v/>
      </c>
      <c r="C90" s="292">
        <v>1</v>
      </c>
      <c r="D90" s="171">
        <f>IF(Limits!$P$3=TRUE,1,0)</f>
        <v>1</v>
      </c>
      <c r="E90" s="172">
        <f>IF(Daten!$P90+Daten!$Q90+Daten!$S90=3,1,0)</f>
        <v>0</v>
      </c>
      <c r="F90" s="173">
        <f ca="1">IF(AND(Limits!$Q$21=TRUE,Daten!O90=1)=TRUE,1,0)</f>
        <v>1</v>
      </c>
      <c r="G90" s="174">
        <f ca="1">IF(AND(Limits!$Q$25=TRUE,Daten!N90=1)=TRUE,1,0)</f>
        <v>0</v>
      </c>
      <c r="H90" s="174">
        <f ca="1">IF(AND(Limits!$Q$24=TRUE,Daten!M90=1)=TRUE,1,0)</f>
        <v>0</v>
      </c>
      <c r="I90" s="174">
        <f ca="1">IF(AND(Limits!$Q$23=TRUE,Daten!L90=1)=TRUE,1,0)</f>
        <v>0</v>
      </c>
      <c r="J90" s="174">
        <f ca="1">IF(AND(Limits!$Q$22=TRUE,Daten!K90=1)=TRUE,1,0)</f>
        <v>0</v>
      </c>
      <c r="K90" s="188">
        <f ca="1">IF(Daten!$V90=13,1,0)</f>
        <v>0</v>
      </c>
      <c r="L90" s="189">
        <f ca="1">IF(Daten!$V90&lt;&gt;Daten!$W90,1,IF(Daten!$V90=14,1,0))</f>
        <v>0</v>
      </c>
      <c r="M90" s="189">
        <f ca="1">IF(Daten!$V90&lt;&gt;Daten!$W90,1,IF(Daten!$V90=16,1,0))</f>
        <v>0</v>
      </c>
      <c r="N90" s="189">
        <f ca="1">IF(Daten!$W90=17,1,0)</f>
        <v>0</v>
      </c>
      <c r="O90" s="190">
        <f ca="1">IF(Daten!$X90=Sprache!$A$70,1,0)</f>
        <v>1</v>
      </c>
      <c r="P90" s="198">
        <f>IF(AND(Daten!$AQ90&lt;=KINVARO!$AW$3,Daten!$AR90&gt;=KINVARO!$AW$3)=TRUE,1,0)</f>
        <v>1</v>
      </c>
      <c r="Q90" s="199">
        <f>IF(AND(Daten!$AA90&lt;=KINVARO!$AW$4,Daten!$AB90&gt;=KINVARO!$AW$4)=TRUE,1,0)</f>
        <v>0</v>
      </c>
      <c r="R90" s="199"/>
      <c r="S90" s="199">
        <f>IF(AND(Daten!$AD90&lt;=Limits!$I$70,Daten!$AE90&gt;=Limits!$I$70)=TRUE,1,0)</f>
        <v>1</v>
      </c>
      <c r="T90" s="200">
        <f ca="1">IF(Daten!$Y90=Sprache!$A$135,1,0)</f>
        <v>0</v>
      </c>
      <c r="U90" s="201" t="str">
        <f ca="1">Sprache!$A$61</f>
        <v>F-20 Складной подъемник</v>
      </c>
      <c r="V90" s="202" t="str">
        <f ca="1">Sprache!$A$74</f>
        <v>var</v>
      </c>
      <c r="W90" s="200" t="str">
        <f ca="1">Sprache!$A$74</f>
        <v>var</v>
      </c>
      <c r="X90" s="203" t="str">
        <f ca="1">Sprache!$A$70</f>
        <v>соединение с древесиной</v>
      </c>
      <c r="Y90" s="187" t="str">
        <f ca="1">Sprache!$A$136</f>
        <v>nein</v>
      </c>
      <c r="Z90" s="203" t="str">
        <f ca="1">Sprache!$A$106</f>
        <v>Korpus</v>
      </c>
      <c r="AA90" s="203">
        <v>600</v>
      </c>
      <c r="AB90" s="201">
        <v>649</v>
      </c>
      <c r="AC90" s="203"/>
      <c r="AD90" s="204">
        <v>4.0999999999999996</v>
      </c>
      <c r="AE90" s="205">
        <v>12.1</v>
      </c>
      <c r="AF90" s="266" t="str">
        <f>MID(Tabelle2[[#This Row],[bnr full]],1,4)</f>
        <v>F152</v>
      </c>
      <c r="AG90" s="267" t="str">
        <f>MID(Tabelle2[[#This Row],[bnr full]],5,3)</f>
        <v>147</v>
      </c>
      <c r="AH90" s="268" t="str">
        <f>MID(Tabelle2[[#This Row],[bnr full]],8,3)</f>
        <v>675</v>
      </c>
      <c r="AI90" s="267" t="str">
        <f>MID(Tabelle2[[#This Row],[bnr full]],11,3)</f>
        <v>201</v>
      </c>
      <c r="AJ90" s="253" t="str">
        <f>MID(Tabelle2[[#This Row],[bnr full]],11,3)</f>
        <v>201</v>
      </c>
      <c r="AK90" s="206" t="s">
        <v>1633</v>
      </c>
      <c r="AL90" s="201" t="str">
        <f ca="1">Sprache!$A$111</f>
        <v>Комплект (Л + П)</v>
      </c>
      <c r="AM90" s="203" t="str">
        <f ca="1">Sprache!$A$116</f>
        <v>Направляющий рычаг, тип 4</v>
      </c>
      <c r="AN90" s="203" t="str">
        <f ca="1">Sprache!$A$121</f>
        <v>Силовой механизм B</v>
      </c>
      <c r="AO90" s="203" t="s">
        <v>25</v>
      </c>
      <c r="AP90" s="203" t="s">
        <v>25</v>
      </c>
      <c r="AQ90" s="203">
        <v>400</v>
      </c>
      <c r="AR90" s="201">
        <v>1200</v>
      </c>
      <c r="AS90" s="187" t="str">
        <f ca="1">CONCATENATE("TIOMOS 120° ",Sprache!$A$98)</f>
        <v>TIOMOS 120° Шарнир</v>
      </c>
      <c r="AT90" s="187" t="str">
        <f ca="1">CONCATENATE("1D° ",Sprache!$A$149)</f>
        <v>1D° Монтажная плита</v>
      </c>
      <c r="AU90"/>
      <c r="AV90"/>
      <c r="AY90"/>
      <c r="AZ90"/>
      <c r="BA90"/>
      <c r="BB90"/>
      <c r="BC90"/>
    </row>
    <row r="91" spans="1:55" x14ac:dyDescent="0.25">
      <c r="A91" s="12" t="str">
        <f ca="1">IF(F91+G91+H91+I91+J91+D91+E91=3,IF(Tabelle2[[#This Row],[Kappe Weiß]]=Limits!$R$29,1,""),"")</f>
        <v/>
      </c>
      <c r="B91" s="12" t="str">
        <f ca="1">IF(G91+H91+I91+J91+E91+F91=2,IF(Tabelle2[[#This Row],[Kappe Weiß]]=Limits!$R$29,1,""),"")</f>
        <v/>
      </c>
      <c r="C91" s="291">
        <v>1</v>
      </c>
      <c r="D91" s="171">
        <f>IF(Limits!$P$3=TRUE,1,0)</f>
        <v>1</v>
      </c>
      <c r="E91" s="172">
        <f>IF(Daten!$P91+Daten!$Q91+Daten!$S91=3,1,0)</f>
        <v>0</v>
      </c>
      <c r="F91" s="173">
        <f ca="1">IF(AND(Limits!$Q$21=TRUE,Daten!O91=1)=TRUE,1,0)</f>
        <v>1</v>
      </c>
      <c r="G91" s="174">
        <f ca="1">IF(AND(Limits!$Q$25=TRUE,Daten!N91=1)=TRUE,1,0)</f>
        <v>0</v>
      </c>
      <c r="H91" s="174">
        <f ca="1">IF(AND(Limits!$Q$24=TRUE,Daten!M91=1)=TRUE,1,0)</f>
        <v>0</v>
      </c>
      <c r="I91" s="174">
        <f ca="1">IF(AND(Limits!$Q$23=TRUE,Daten!L91=1)=TRUE,1,0)</f>
        <v>0</v>
      </c>
      <c r="J91" s="174">
        <f ca="1">IF(AND(Limits!$Q$22=TRUE,Daten!K91=1)=TRUE,1,0)</f>
        <v>0</v>
      </c>
      <c r="K91" s="188">
        <f ca="1">IF(Daten!$V91=13,1,0)</f>
        <v>0</v>
      </c>
      <c r="L91" s="189">
        <f ca="1">IF(Daten!$V91&lt;&gt;Daten!$W91,1,IF(Daten!$V91=14,1,0))</f>
        <v>0</v>
      </c>
      <c r="M91" s="189">
        <f ca="1">IF(Daten!$V91&lt;&gt;Daten!$W91,1,IF(Daten!$V91=16,1,0))</f>
        <v>0</v>
      </c>
      <c r="N91" s="189">
        <f ca="1">IF(Daten!$W91=17,1,0)</f>
        <v>0</v>
      </c>
      <c r="O91" s="190">
        <f ca="1">IF(Daten!$X91=Sprache!$A$70,1,0)</f>
        <v>1</v>
      </c>
      <c r="P91" s="191">
        <f>IF(AND(Daten!$AQ91&lt;=KINVARO!$AW$3,Daten!$AR91&gt;=KINVARO!$AW$3)=TRUE,1,0)</f>
        <v>1</v>
      </c>
      <c r="Q91" s="192">
        <f>IF(AND(Daten!$AA91&lt;=KINVARO!$AW$4,Daten!$AB91&gt;=KINVARO!$AW$4)=TRUE,1,0)</f>
        <v>0</v>
      </c>
      <c r="R91" s="192"/>
      <c r="S91" s="192">
        <f>IF(AND(Daten!$AD91&lt;=Limits!$I$70,Daten!$AE91&gt;=Limits!$I$70)=TRUE,1,0)</f>
        <v>1</v>
      </c>
      <c r="T91" s="193">
        <f ca="1">IF(Daten!$Y91=Sprache!$A$135,1,0)</f>
        <v>0</v>
      </c>
      <c r="U91" s="124" t="str">
        <f ca="1">Sprache!$A$61</f>
        <v>F-20 Складной подъемник</v>
      </c>
      <c r="V91" s="194" t="str">
        <f ca="1">Sprache!$A$74</f>
        <v>var</v>
      </c>
      <c r="W91" s="193" t="str">
        <f ca="1">Sprache!$A$74</f>
        <v>var</v>
      </c>
      <c r="X91" s="187" t="str">
        <f ca="1">Sprache!$A$70</f>
        <v>соединение с древесиной</v>
      </c>
      <c r="Y91" s="187" t="str">
        <f ca="1">Sprache!$A$136</f>
        <v>nein</v>
      </c>
      <c r="Z91" s="187" t="str">
        <f ca="1">Sprache!$A$106</f>
        <v>Korpus</v>
      </c>
      <c r="AA91" s="187">
        <v>600</v>
      </c>
      <c r="AB91" s="124">
        <v>649</v>
      </c>
      <c r="AC91" s="187"/>
      <c r="AD91" s="195">
        <v>6.8</v>
      </c>
      <c r="AE91" s="196">
        <v>15.8</v>
      </c>
      <c r="AF91" s="263" t="str">
        <f>MID(Tabelle2[[#This Row],[bnr full]],1,4)</f>
        <v>F152</v>
      </c>
      <c r="AG91" s="264" t="str">
        <f>MID(Tabelle2[[#This Row],[bnr full]],5,3)</f>
        <v>147</v>
      </c>
      <c r="AH91" s="265" t="str">
        <f>MID(Tabelle2[[#This Row],[bnr full]],8,3)</f>
        <v>842</v>
      </c>
      <c r="AI91" s="264" t="str">
        <f>MID(Tabelle2[[#This Row],[bnr full]],11,3)</f>
        <v>201</v>
      </c>
      <c r="AJ91" s="252" t="str">
        <f>MID(Tabelle2[[#This Row],[bnr full]],11,3)</f>
        <v>201</v>
      </c>
      <c r="AK91" s="197" t="s">
        <v>1634</v>
      </c>
      <c r="AL91" s="124" t="str">
        <f ca="1">Sprache!$A$111</f>
        <v>Комплект (Л + П)</v>
      </c>
      <c r="AM91" s="187" t="str">
        <f ca="1">Sprache!$A$116</f>
        <v>Направляющий рычаг, тип 4</v>
      </c>
      <c r="AN91" s="187" t="str">
        <f ca="1">Sprache!$A$122</f>
        <v>Силовой механизм C</v>
      </c>
      <c r="AO91" s="187" t="s">
        <v>25</v>
      </c>
      <c r="AP91" s="187" t="s">
        <v>25</v>
      </c>
      <c r="AQ91" s="187">
        <v>400</v>
      </c>
      <c r="AR91" s="124">
        <v>1200</v>
      </c>
      <c r="AS91" s="187" t="str">
        <f ca="1">CONCATENATE("TIOMOS 120° ",Sprache!$A$98)</f>
        <v>TIOMOS 120° Шарнир</v>
      </c>
      <c r="AT91" s="187" t="str">
        <f ca="1">CONCATENATE("1D° ",Sprache!$A$149)</f>
        <v>1D° Монтажная плита</v>
      </c>
      <c r="AU91"/>
      <c r="AV91"/>
      <c r="AY91"/>
      <c r="AZ91"/>
      <c r="BA91"/>
      <c r="BB91"/>
      <c r="BC91"/>
    </row>
    <row r="92" spans="1:55" x14ac:dyDescent="0.25">
      <c r="A92" s="12" t="str">
        <f ca="1">IF(F92+G92+H92+I92+J92+D92+E92=3,IF(Tabelle2[[#This Row],[Kappe Weiß]]=Limits!$R$29,1,""),"")</f>
        <v/>
      </c>
      <c r="B92" s="12" t="str">
        <f ca="1">IF(G92+H92+I92+J92+E92+F92=2,IF(Tabelle2[[#This Row],[Kappe Weiß]]=Limits!$R$29,1,""),"")</f>
        <v/>
      </c>
      <c r="C92" s="291">
        <v>1</v>
      </c>
      <c r="D92" s="171">
        <f>IF(Limits!$P$3=TRUE,1,0)</f>
        <v>1</v>
      </c>
      <c r="E92" s="172">
        <f>IF(Daten!$P92+Daten!$Q92+Daten!$S92=3,1,0)</f>
        <v>0</v>
      </c>
      <c r="F92" s="173">
        <f ca="1">IF(AND(Limits!$Q$21=TRUE,Daten!O92=1)=TRUE,1,0)</f>
        <v>0</v>
      </c>
      <c r="G92" s="174">
        <f>IF(AND(Limits!$Q$25=TRUE,Daten!N92=1)=TRUE,1,0)</f>
        <v>0</v>
      </c>
      <c r="H92" s="174">
        <f>IF(AND(Limits!$Q$24=TRUE,Daten!M92=1)=TRUE,1,0)</f>
        <v>0</v>
      </c>
      <c r="I92" s="174">
        <f>IF(AND(Limits!$Q$23=TRUE,Daten!L92=1)=TRUE,1,0)</f>
        <v>0</v>
      </c>
      <c r="J92" s="174">
        <f>IF(AND(Limits!$Q$22=TRUE,Daten!K92=1)=TRUE,1,0)</f>
        <v>0</v>
      </c>
      <c r="K92" s="188">
        <f>IF(Daten!$V92=13,1,0)</f>
        <v>1</v>
      </c>
      <c r="L92" s="189">
        <f>IF(Daten!$V92&lt;&gt;Daten!$W92,1,IF(Daten!$V92=14,1,0))</f>
        <v>1</v>
      </c>
      <c r="M92" s="189">
        <f>IF(Daten!$V92&lt;&gt;Daten!$W92,1,IF(Daten!$V92=16,1,0))</f>
        <v>1</v>
      </c>
      <c r="N92" s="189">
        <f>IF(Daten!$W92=17,1,0)</f>
        <v>1</v>
      </c>
      <c r="O92" s="190">
        <f ca="1">IF(Daten!$X92=Sprache!$A$70,1,0)</f>
        <v>0</v>
      </c>
      <c r="P92" s="191">
        <f>IF(AND(Daten!$AQ92&lt;=KINVARO!$AW$3,Daten!$AR92&gt;=KINVARO!$AW$3)=TRUE,1,0)</f>
        <v>1</v>
      </c>
      <c r="Q92" s="192">
        <f>IF(AND(Daten!$AA92&lt;=KINVARO!$AW$4,Daten!$AB92&gt;=KINVARO!$AW$4)=TRUE,1,0)</f>
        <v>0</v>
      </c>
      <c r="R92" s="192"/>
      <c r="S92" s="192">
        <f>IF(AND(Daten!$AD92&lt;=Limits!$I$70,Daten!$AE92&gt;=Limits!$I$70)=TRUE,1,0)</f>
        <v>1</v>
      </c>
      <c r="T92" s="193">
        <f ca="1">IF(Daten!$Y92=Sprache!$A$135,1,0)</f>
        <v>0</v>
      </c>
      <c r="U92" s="124" t="str">
        <f ca="1">Sprache!$A$61</f>
        <v>F-20 Складной подъемник</v>
      </c>
      <c r="V92" s="194">
        <v>13</v>
      </c>
      <c r="W92" s="193">
        <v>17</v>
      </c>
      <c r="X92" s="187" t="str">
        <f ca="1">Sprache!$A$141</f>
        <v>Alu</v>
      </c>
      <c r="Y92" s="187" t="str">
        <f ca="1">Sprache!$A$136</f>
        <v>nein</v>
      </c>
      <c r="Z92" s="187" t="str">
        <f ca="1">Sprache!$A$106</f>
        <v>Korpus</v>
      </c>
      <c r="AA92" s="187">
        <v>600</v>
      </c>
      <c r="AB92" s="124">
        <v>649</v>
      </c>
      <c r="AC92" s="187"/>
      <c r="AD92" s="195">
        <v>4.0999999999999996</v>
      </c>
      <c r="AE92" s="196">
        <v>12.1</v>
      </c>
      <c r="AF92" s="263" t="str">
        <f>MID(Tabelle2[[#This Row],[bnr full]],1,4)</f>
        <v>F152</v>
      </c>
      <c r="AG92" s="264" t="str">
        <f>MID(Tabelle2[[#This Row],[bnr full]],5,3)</f>
        <v>147</v>
      </c>
      <c r="AH92" s="265" t="str">
        <f>MID(Tabelle2[[#This Row],[bnr full]],8,3)</f>
        <v>675</v>
      </c>
      <c r="AI92" s="264" t="str">
        <f>MID(Tabelle2[[#This Row],[bnr full]],11,3)</f>
        <v>201</v>
      </c>
      <c r="AJ92" s="252" t="str">
        <f>MID(Tabelle2[[#This Row],[bnr full]],11,3)</f>
        <v>201</v>
      </c>
      <c r="AK92" s="197" t="s">
        <v>1633</v>
      </c>
      <c r="AL92" s="124" t="str">
        <f ca="1">Sprache!$A$111</f>
        <v>Комплект (Л + П)</v>
      </c>
      <c r="AM92" s="187" t="str">
        <f ca="1">Sprache!$A$116</f>
        <v>Направляющий рычаг, тип 4</v>
      </c>
      <c r="AN92" s="187" t="str">
        <f ca="1">Sprache!$A$121</f>
        <v>Силовой механизм B</v>
      </c>
      <c r="AO92" s="187" t="str">
        <f ca="1">Sprache!$A$144</f>
        <v>Адаптер под алюминиевые рамки к комплекту Kinvaro F-20</v>
      </c>
      <c r="AP92" s="187" t="s">
        <v>815</v>
      </c>
      <c r="AQ92" s="187">
        <v>400</v>
      </c>
      <c r="AR92" s="124">
        <v>1200</v>
      </c>
      <c r="AS92" s="187" t="str">
        <f ca="1">CONCATENATE("TIOMOS 110° ",Sprache!$A$150)</f>
        <v>TIOMOS 110° Шарнир для алюминиевой рамки</v>
      </c>
      <c r="AT92" s="187" t="str">
        <f ca="1">CONCATENATE("1D° ",Sprache!$A$149)</f>
        <v>1D° Монтажная плита</v>
      </c>
      <c r="AU92"/>
      <c r="AV92"/>
      <c r="AY92"/>
      <c r="AZ92"/>
      <c r="BA92"/>
      <c r="BB92"/>
      <c r="BC92"/>
    </row>
    <row r="93" spans="1:55" x14ac:dyDescent="0.25">
      <c r="A93" s="12" t="str">
        <f ca="1">IF(F93+G93+H93+I93+J93+D93+E93=3,IF(Tabelle2[[#This Row],[Kappe Weiß]]=Limits!$R$29,1,""),"")</f>
        <v/>
      </c>
      <c r="B93" s="12" t="str">
        <f ca="1">IF(G93+H93+I93+J93+E93+F93=2,IF(Tabelle2[[#This Row],[Kappe Weiß]]=Limits!$R$29,1,""),"")</f>
        <v/>
      </c>
      <c r="C93" s="291">
        <v>1</v>
      </c>
      <c r="D93" s="171">
        <f>IF(Limits!$P$3=TRUE,1,0)</f>
        <v>1</v>
      </c>
      <c r="E93" s="172">
        <f>IF(Daten!$P93+Daten!$Q93+Daten!$S93=3,1,0)</f>
        <v>0</v>
      </c>
      <c r="F93" s="173">
        <f ca="1">IF(AND(Limits!$Q$21=TRUE,Daten!O93=1)=TRUE,1,0)</f>
        <v>0</v>
      </c>
      <c r="G93" s="174">
        <f>IF(AND(Limits!$Q$25=TRUE,Daten!N93=1)=TRUE,1,0)</f>
        <v>0</v>
      </c>
      <c r="H93" s="174">
        <f>IF(AND(Limits!$Q$24=TRUE,Daten!M93=1)=TRUE,1,0)</f>
        <v>0</v>
      </c>
      <c r="I93" s="174">
        <f>IF(AND(Limits!$Q$23=TRUE,Daten!L93=1)=TRUE,1,0)</f>
        <v>0</v>
      </c>
      <c r="J93" s="174">
        <f>IF(AND(Limits!$Q$22=TRUE,Daten!K93=1)=TRUE,1,0)</f>
        <v>0</v>
      </c>
      <c r="K93" s="188">
        <f>IF(Daten!$V93=13,1,0)</f>
        <v>1</v>
      </c>
      <c r="L93" s="189">
        <f>IF(Daten!$V93&lt;&gt;Daten!$W93,1,IF(Daten!$V93=14,1,0))</f>
        <v>1</v>
      </c>
      <c r="M93" s="189">
        <f>IF(Daten!$V93&lt;&gt;Daten!$W93,1,IF(Daten!$V93=16,1,0))</f>
        <v>1</v>
      </c>
      <c r="N93" s="189">
        <f>IF(Daten!$W93=17,1,0)</f>
        <v>1</v>
      </c>
      <c r="O93" s="190">
        <f ca="1">IF(Daten!$X93=Sprache!$A$70,1,0)</f>
        <v>0</v>
      </c>
      <c r="P93" s="191">
        <f>IF(AND(Daten!$AQ93&lt;=KINVARO!$AW$3,Daten!$AR93&gt;=KINVARO!$AW$3)=TRUE,1,0)</f>
        <v>1</v>
      </c>
      <c r="Q93" s="192">
        <f>IF(AND(Daten!$AA93&lt;=KINVARO!$AW$4,Daten!$AB93&gt;=KINVARO!$AW$4)=TRUE,1,0)</f>
        <v>0</v>
      </c>
      <c r="R93" s="192"/>
      <c r="S93" s="192">
        <f>IF(AND(Daten!$AD93&lt;=Limits!$I$70,Daten!$AE93&gt;=Limits!$I$70)=TRUE,1,0)</f>
        <v>1</v>
      </c>
      <c r="T93" s="193">
        <f ca="1">IF(Daten!$Y93=Sprache!$A$135,1,0)</f>
        <v>0</v>
      </c>
      <c r="U93" s="124" t="str">
        <f ca="1">Sprache!$A$61</f>
        <v>F-20 Складной подъемник</v>
      </c>
      <c r="V93" s="194">
        <v>13</v>
      </c>
      <c r="W93" s="193">
        <v>17</v>
      </c>
      <c r="X93" s="187" t="str">
        <f ca="1">Sprache!$A$141</f>
        <v>Alu</v>
      </c>
      <c r="Y93" s="187" t="str">
        <f ca="1">Sprache!$A$136</f>
        <v>nein</v>
      </c>
      <c r="Z93" s="187" t="str">
        <f ca="1">Sprache!$A$106</f>
        <v>Korpus</v>
      </c>
      <c r="AA93" s="187">
        <v>600</v>
      </c>
      <c r="AB93" s="124">
        <v>649</v>
      </c>
      <c r="AC93" s="187"/>
      <c r="AD93" s="195">
        <v>6.8</v>
      </c>
      <c r="AE93" s="196">
        <v>15.8</v>
      </c>
      <c r="AF93" s="263" t="str">
        <f>MID(Tabelle2[[#This Row],[bnr full]],1,4)</f>
        <v>F152</v>
      </c>
      <c r="AG93" s="264" t="str">
        <f>MID(Tabelle2[[#This Row],[bnr full]],5,3)</f>
        <v>147</v>
      </c>
      <c r="AH93" s="265" t="str">
        <f>MID(Tabelle2[[#This Row],[bnr full]],8,3)</f>
        <v>842</v>
      </c>
      <c r="AI93" s="264" t="str">
        <f>MID(Tabelle2[[#This Row],[bnr full]],11,3)</f>
        <v>201</v>
      </c>
      <c r="AJ93" s="252" t="str">
        <f>MID(Tabelle2[[#This Row],[bnr full]],11,3)</f>
        <v>201</v>
      </c>
      <c r="AK93" s="197" t="s">
        <v>1634</v>
      </c>
      <c r="AL93" s="124" t="str">
        <f ca="1">Sprache!$A$111</f>
        <v>Комплект (Л + П)</v>
      </c>
      <c r="AM93" s="187" t="str">
        <f ca="1">Sprache!$A$116</f>
        <v>Направляющий рычаг, тип 4</v>
      </c>
      <c r="AN93" s="187" t="str">
        <f ca="1">Sprache!$A$122</f>
        <v>Силовой механизм C</v>
      </c>
      <c r="AO93" s="187" t="str">
        <f ca="1">Sprache!$A$144</f>
        <v>Адаптер под алюминиевые рамки к комплекту Kinvaro F-20</v>
      </c>
      <c r="AP93" s="187" t="s">
        <v>815</v>
      </c>
      <c r="AQ93" s="187">
        <v>400</v>
      </c>
      <c r="AR93" s="124">
        <v>1200</v>
      </c>
      <c r="AS93" s="187" t="str">
        <f ca="1">CONCATENATE("TIOMOS 110° ",Sprache!$A$150)</f>
        <v>TIOMOS 110° Шарнир для алюминиевой рамки</v>
      </c>
      <c r="AT93" s="187" t="str">
        <f ca="1">CONCATENATE("1D° ",Sprache!$A$149)</f>
        <v>1D° Монтажная плита</v>
      </c>
      <c r="AU93"/>
      <c r="AV93"/>
      <c r="AY93"/>
      <c r="AZ93"/>
      <c r="BA93"/>
      <c r="BB93"/>
      <c r="BC93"/>
    </row>
    <row r="94" spans="1:55" x14ac:dyDescent="0.25">
      <c r="A94" s="12" t="str">
        <f ca="1">IF(F94+G94+H94+I94+J94+D94+E94=3,IF(Tabelle2[[#This Row],[Kappe Weiß]]=Limits!$R$29,1,""),"")</f>
        <v/>
      </c>
      <c r="B94" s="12" t="str">
        <f ca="1">IF(G94+H94+I94+J94+E94+F94=2,IF(Tabelle2[[#This Row],[Kappe Weiß]]=Limits!$R$29,1,""),"")</f>
        <v/>
      </c>
      <c r="C94" s="292">
        <v>1</v>
      </c>
      <c r="D94" s="171">
        <f>IF(Limits!$P$3=TRUE,1,0)</f>
        <v>1</v>
      </c>
      <c r="E94" s="172">
        <f>IF(Daten!$P94+Daten!$Q94+Daten!$S94=3,1,0)</f>
        <v>0</v>
      </c>
      <c r="F94" s="173">
        <f ca="1">IF(AND(Limits!$Q$21=TRUE,Daten!O94=1)=TRUE,1,0)</f>
        <v>1</v>
      </c>
      <c r="G94" s="174">
        <f ca="1">IF(AND(Limits!$Q$25=TRUE,Daten!N94=1)=TRUE,1,0)</f>
        <v>0</v>
      </c>
      <c r="H94" s="174">
        <f ca="1">IF(AND(Limits!$Q$24=TRUE,Daten!M94=1)=TRUE,1,0)</f>
        <v>0</v>
      </c>
      <c r="I94" s="174">
        <f ca="1">IF(AND(Limits!$Q$23=TRUE,Daten!L94=1)=TRUE,1,0)</f>
        <v>0</v>
      </c>
      <c r="J94" s="174">
        <f ca="1">IF(AND(Limits!$Q$22=TRUE,Daten!K94=1)=TRUE,1,0)</f>
        <v>0</v>
      </c>
      <c r="K94" s="188">
        <f ca="1">IF(Daten!$V94=13,1,0)</f>
        <v>0</v>
      </c>
      <c r="L94" s="189">
        <f ca="1">IF(Daten!$V94&lt;&gt;Daten!$W94,1,IF(Daten!$V94=14,1,0))</f>
        <v>0</v>
      </c>
      <c r="M94" s="189">
        <f ca="1">IF(Daten!$V94&lt;&gt;Daten!$W94,1,IF(Daten!$V94=16,1,0))</f>
        <v>0</v>
      </c>
      <c r="N94" s="189">
        <f ca="1">IF(Daten!$W94=17,1,0)</f>
        <v>0</v>
      </c>
      <c r="O94" s="190">
        <f ca="1">IF(Daten!$X94=Sprache!$A$70,1,0)</f>
        <v>1</v>
      </c>
      <c r="P94" s="198">
        <f>IF(AND(Daten!$AQ94&lt;=KINVARO!$AW$3,Daten!$AR94&gt;=KINVARO!$AW$3)=TRUE,1,0)</f>
        <v>1</v>
      </c>
      <c r="Q94" s="199">
        <f>IF(AND(Daten!$AA94&lt;=KINVARO!$AW$4,Daten!$AB94&gt;=KINVARO!$AW$4)=TRUE,1,0)</f>
        <v>0</v>
      </c>
      <c r="R94" s="199"/>
      <c r="S94" s="199">
        <f>IF(AND(Daten!$AD94&lt;=Limits!$I$70,Daten!$AE94&gt;=Limits!$I$70)=TRUE,1,0)</f>
        <v>1</v>
      </c>
      <c r="T94" s="200">
        <f ca="1">IF(Daten!$Y94=Sprache!$A$135,1,0)</f>
        <v>0</v>
      </c>
      <c r="U94" s="201" t="str">
        <f ca="1">Sprache!$A$61</f>
        <v>F-20 Складной подъемник</v>
      </c>
      <c r="V94" s="202" t="str">
        <f ca="1">Sprache!$A$74</f>
        <v>var</v>
      </c>
      <c r="W94" s="200" t="str">
        <f ca="1">Sprache!$A$74</f>
        <v>var</v>
      </c>
      <c r="X94" s="203" t="str">
        <f ca="1">Sprache!$A$70</f>
        <v>соединение с древесиной</v>
      </c>
      <c r="Y94" s="187" t="str">
        <f ca="1">Sprache!$A$136</f>
        <v>nein</v>
      </c>
      <c r="Z94" s="203" t="str">
        <f ca="1">Sprache!$A$106</f>
        <v>Korpus</v>
      </c>
      <c r="AA94" s="203">
        <v>650</v>
      </c>
      <c r="AB94" s="201">
        <v>699</v>
      </c>
      <c r="AC94" s="203"/>
      <c r="AD94" s="204">
        <v>3.8</v>
      </c>
      <c r="AE94" s="205">
        <v>11.4</v>
      </c>
      <c r="AF94" s="266" t="str">
        <f>MID(Tabelle2[[#This Row],[bnr full]],1,4)</f>
        <v>F152</v>
      </c>
      <c r="AG94" s="267" t="str">
        <f>MID(Tabelle2[[#This Row],[bnr full]],5,3)</f>
        <v>147</v>
      </c>
      <c r="AH94" s="268" t="str">
        <f>MID(Tabelle2[[#This Row],[bnr full]],8,3)</f>
        <v>840</v>
      </c>
      <c r="AI94" s="267" t="str">
        <f>MID(Tabelle2[[#This Row],[bnr full]],11,3)</f>
        <v>201</v>
      </c>
      <c r="AJ94" s="253" t="str">
        <f>MID(Tabelle2[[#This Row],[bnr full]],11,3)</f>
        <v>201</v>
      </c>
      <c r="AK94" s="206" t="s">
        <v>1635</v>
      </c>
      <c r="AL94" s="201" t="str">
        <f ca="1">Sprache!$A$111</f>
        <v>Комплект (Л + П)</v>
      </c>
      <c r="AM94" s="203" t="str">
        <f ca="1">Sprache!$A$117</f>
        <v>Направляющий рычаг, тип 5</v>
      </c>
      <c r="AN94" s="203" t="str">
        <f ca="1">Sprache!$A$121</f>
        <v>Силовой механизм B</v>
      </c>
      <c r="AO94" s="203" t="s">
        <v>25</v>
      </c>
      <c r="AP94" s="203" t="s">
        <v>25</v>
      </c>
      <c r="AQ94" s="203">
        <v>400</v>
      </c>
      <c r="AR94" s="201">
        <v>1200</v>
      </c>
      <c r="AS94" s="187" t="str">
        <f ca="1">CONCATENATE("TIOMOS 120° ",Sprache!$A$98)</f>
        <v>TIOMOS 120° Шарнир</v>
      </c>
      <c r="AT94" s="187" t="str">
        <f ca="1">CONCATENATE("1D° ",Sprache!$A$149)</f>
        <v>1D° Монтажная плита</v>
      </c>
      <c r="AU94"/>
      <c r="AV94"/>
      <c r="AY94"/>
      <c r="AZ94"/>
      <c r="BA94"/>
      <c r="BB94"/>
      <c r="BC94"/>
    </row>
    <row r="95" spans="1:55" s="8" customFormat="1" ht="15.75" thickBot="1" x14ac:dyDescent="0.3">
      <c r="A95" s="12" t="str">
        <f ca="1">IF(F95+G95+H95+I95+J95+D95+E95=3,IF(Tabelle2[[#This Row],[Kappe Weiß]]=Limits!$R$29,1,""),"")</f>
        <v/>
      </c>
      <c r="B95" s="12" t="str">
        <f ca="1">IF(G95+H95+I95+J95+E95+F95=2,IF(Tabelle2[[#This Row],[Kappe Weiß]]=Limits!$R$29,1,""),"")</f>
        <v/>
      </c>
      <c r="C95" s="291">
        <v>1</v>
      </c>
      <c r="D95" s="171">
        <f>IF(Limits!$P$3=TRUE,1,0)</f>
        <v>1</v>
      </c>
      <c r="E95" s="172">
        <f>IF(Daten!$P95+Daten!$Q95+Daten!$S95=3,1,0)</f>
        <v>0</v>
      </c>
      <c r="F95" s="173">
        <f ca="1">IF(AND(Limits!$Q$21=TRUE,Daten!O95=1)=TRUE,1,0)</f>
        <v>1</v>
      </c>
      <c r="G95" s="174">
        <f ca="1">IF(AND(Limits!$Q$25=TRUE,Daten!N95=1)=TRUE,1,0)</f>
        <v>0</v>
      </c>
      <c r="H95" s="174">
        <f ca="1">IF(AND(Limits!$Q$24=TRUE,Daten!M95=1)=TRUE,1,0)</f>
        <v>0</v>
      </c>
      <c r="I95" s="174">
        <f ca="1">IF(AND(Limits!$Q$23=TRUE,Daten!L95=1)=TRUE,1,0)</f>
        <v>0</v>
      </c>
      <c r="J95" s="174">
        <f ca="1">IF(AND(Limits!$Q$22=TRUE,Daten!K95=1)=TRUE,1,0)</f>
        <v>0</v>
      </c>
      <c r="K95" s="188">
        <f ca="1">IF(Daten!$V95=13,1,0)</f>
        <v>0</v>
      </c>
      <c r="L95" s="189">
        <f ca="1">IF(Daten!$V95&lt;&gt;Daten!$W95,1,IF(Daten!$V95=14,1,0))</f>
        <v>0</v>
      </c>
      <c r="M95" s="189">
        <f ca="1">IF(Daten!$V95&lt;&gt;Daten!$W95,1,IF(Daten!$V95=16,1,0))</f>
        <v>0</v>
      </c>
      <c r="N95" s="189">
        <f ca="1">IF(Daten!$W95=17,1,0)</f>
        <v>0</v>
      </c>
      <c r="O95" s="190">
        <f ca="1">IF(Daten!$X95=Sprache!$A$70,1,0)</f>
        <v>1</v>
      </c>
      <c r="P95" s="191">
        <f>IF(AND(Daten!$AQ95&lt;=KINVARO!$AW$3,Daten!$AR95&gt;=KINVARO!$AW$3)=TRUE,1,0)</f>
        <v>1</v>
      </c>
      <c r="Q95" s="192">
        <f>IF(AND(Daten!$AA95&lt;=KINVARO!$AW$4,Daten!$AB95&gt;=KINVARO!$AW$4)=TRUE,1,0)</f>
        <v>0</v>
      </c>
      <c r="R95" s="192"/>
      <c r="S95" s="192">
        <f>IF(AND(Daten!$AD95&lt;=Limits!$I$70,Daten!$AE95&gt;=Limits!$I$70)=TRUE,1,0)</f>
        <v>1</v>
      </c>
      <c r="T95" s="193">
        <f ca="1">IF(Daten!$Y95=Sprache!$A$135,1,0)</f>
        <v>0</v>
      </c>
      <c r="U95" s="124" t="str">
        <f ca="1">Sprache!$A$61</f>
        <v>F-20 Складной подъемник</v>
      </c>
      <c r="V95" s="194" t="str">
        <f ca="1">Sprache!$A$74</f>
        <v>var</v>
      </c>
      <c r="W95" s="193" t="str">
        <f ca="1">Sprache!$A$74</f>
        <v>var</v>
      </c>
      <c r="X95" s="187" t="str">
        <f ca="1">Sprache!$A$70</f>
        <v>соединение с древесиной</v>
      </c>
      <c r="Y95" s="187" t="str">
        <f ca="1">Sprache!$A$136</f>
        <v>nein</v>
      </c>
      <c r="Z95" s="187" t="str">
        <f ca="1">Sprache!$A$106</f>
        <v>Korpus</v>
      </c>
      <c r="AA95" s="187">
        <v>650</v>
      </c>
      <c r="AB95" s="124">
        <v>699</v>
      </c>
      <c r="AC95" s="187"/>
      <c r="AD95" s="195">
        <v>6.7</v>
      </c>
      <c r="AE95" s="196">
        <v>16.899999999999999</v>
      </c>
      <c r="AF95" s="263" t="str">
        <f>MID(Tabelle2[[#This Row],[bnr full]],1,4)</f>
        <v>F152</v>
      </c>
      <c r="AG95" s="264" t="str">
        <f>MID(Tabelle2[[#This Row],[bnr full]],5,3)</f>
        <v>147</v>
      </c>
      <c r="AH95" s="265" t="str">
        <f>MID(Tabelle2[[#This Row],[bnr full]],8,3)</f>
        <v>843</v>
      </c>
      <c r="AI95" s="264" t="str">
        <f>MID(Tabelle2[[#This Row],[bnr full]],11,3)</f>
        <v>201</v>
      </c>
      <c r="AJ95" s="252" t="str">
        <f>MID(Tabelle2[[#This Row],[bnr full]],11,3)</f>
        <v>201</v>
      </c>
      <c r="AK95" s="197" t="s">
        <v>1636</v>
      </c>
      <c r="AL95" s="124" t="str">
        <f ca="1">Sprache!$A$111</f>
        <v>Комплект (Л + П)</v>
      </c>
      <c r="AM95" s="187" t="str">
        <f ca="1">Sprache!$A$117</f>
        <v>Направляющий рычаг, тип 5</v>
      </c>
      <c r="AN95" s="187" t="str">
        <f ca="1">Sprache!$A$122</f>
        <v>Силовой механизм C</v>
      </c>
      <c r="AO95" s="187" t="s">
        <v>25</v>
      </c>
      <c r="AP95" s="187" t="s">
        <v>25</v>
      </c>
      <c r="AQ95" s="187">
        <v>400</v>
      </c>
      <c r="AR95" s="124">
        <v>1200</v>
      </c>
      <c r="AS95" s="187" t="str">
        <f ca="1">CONCATENATE("TIOMOS 120° ",Sprache!$A$98)</f>
        <v>TIOMOS 120° Шарнир</v>
      </c>
      <c r="AT95" s="187" t="str">
        <f ca="1">CONCATENATE("1D° ",Sprache!$A$149)</f>
        <v>1D° Монтажная плита</v>
      </c>
    </row>
    <row r="96" spans="1:55" ht="15.75" thickTop="1" x14ac:dyDescent="0.25">
      <c r="A96" s="12" t="str">
        <f ca="1">IF(F96+G96+H96+I96+J96+D96+E96=3,IF(Tabelle2[[#This Row],[Kappe Weiß]]=Limits!$R$29,1,""),"")</f>
        <v/>
      </c>
      <c r="B96" s="12" t="str">
        <f ca="1">IF(G96+H96+I96+J96+E96+F96=2,IF(Tabelle2[[#This Row],[Kappe Weiß]]=Limits!$R$29,1,""),"")</f>
        <v/>
      </c>
      <c r="C96" s="291">
        <v>1</v>
      </c>
      <c r="D96" s="171">
        <f>IF(Limits!$P$3=TRUE,1,0)</f>
        <v>1</v>
      </c>
      <c r="E96" s="172">
        <f>IF(Daten!$P96+Daten!$Q96+Daten!$S96=3,1,0)</f>
        <v>0</v>
      </c>
      <c r="F96" s="173">
        <f ca="1">IF(AND(Limits!$Q$21=TRUE,Daten!O96=1)=TRUE,1,0)</f>
        <v>0</v>
      </c>
      <c r="G96" s="174">
        <f>IF(AND(Limits!$Q$25=TRUE,Daten!N96=1)=TRUE,1,0)</f>
        <v>0</v>
      </c>
      <c r="H96" s="174">
        <f>IF(AND(Limits!$Q$24=TRUE,Daten!M96=1)=TRUE,1,0)</f>
        <v>0</v>
      </c>
      <c r="I96" s="174">
        <f>IF(AND(Limits!$Q$23=TRUE,Daten!L96=1)=TRUE,1,0)</f>
        <v>0</v>
      </c>
      <c r="J96" s="174">
        <f>IF(AND(Limits!$Q$22=TRUE,Daten!K96=1)=TRUE,1,0)</f>
        <v>0</v>
      </c>
      <c r="K96" s="188">
        <f>IF(Daten!$V96=13,1,0)</f>
        <v>1</v>
      </c>
      <c r="L96" s="189">
        <f>IF(Daten!$V96&lt;&gt;Daten!$W96,1,IF(Daten!$V96=14,1,0))</f>
        <v>1</v>
      </c>
      <c r="M96" s="189">
        <f>IF(Daten!$V96&lt;&gt;Daten!$W96,1,IF(Daten!$V96=16,1,0))</f>
        <v>1</v>
      </c>
      <c r="N96" s="189">
        <f>IF(Daten!$W96=17,1,0)</f>
        <v>1</v>
      </c>
      <c r="O96" s="190">
        <f ca="1">IF(Daten!$X96=Sprache!$A$70,1,0)</f>
        <v>0</v>
      </c>
      <c r="P96" s="191">
        <f>IF(AND(Daten!$AQ96&lt;=KINVARO!$AW$3,Daten!$AR96&gt;=KINVARO!$AW$3)=TRUE,1,0)</f>
        <v>1</v>
      </c>
      <c r="Q96" s="192">
        <f>IF(AND(Daten!$AA96&lt;=KINVARO!$AW$4,Daten!$AB96&gt;=KINVARO!$AW$4)=TRUE,1,0)</f>
        <v>0</v>
      </c>
      <c r="R96" s="192"/>
      <c r="S96" s="192">
        <f>IF(AND(Daten!$AD96&lt;=Limits!$I$70,Daten!$AE96&gt;=Limits!$I$70)=TRUE,1,0)</f>
        <v>1</v>
      </c>
      <c r="T96" s="193">
        <f ca="1">IF(Daten!$Y96=Sprache!$A$135,1,0)</f>
        <v>0</v>
      </c>
      <c r="U96" s="124" t="str">
        <f ca="1">Sprache!$A$61</f>
        <v>F-20 Складной подъемник</v>
      </c>
      <c r="V96" s="194">
        <v>13</v>
      </c>
      <c r="W96" s="193">
        <v>17</v>
      </c>
      <c r="X96" s="187" t="str">
        <f ca="1">Sprache!$A$141</f>
        <v>Alu</v>
      </c>
      <c r="Y96" s="187" t="str">
        <f ca="1">Sprache!$A$136</f>
        <v>nein</v>
      </c>
      <c r="Z96" s="187" t="str">
        <f ca="1">Sprache!$A$106</f>
        <v>Korpus</v>
      </c>
      <c r="AA96" s="187">
        <v>650</v>
      </c>
      <c r="AB96" s="124">
        <v>699</v>
      </c>
      <c r="AC96" s="187"/>
      <c r="AD96" s="195">
        <v>3.8</v>
      </c>
      <c r="AE96" s="196">
        <v>11.4</v>
      </c>
      <c r="AF96" s="263" t="str">
        <f>MID(Tabelle2[[#This Row],[bnr full]],1,4)</f>
        <v>F152</v>
      </c>
      <c r="AG96" s="264" t="str">
        <f>MID(Tabelle2[[#This Row],[bnr full]],5,3)</f>
        <v>147</v>
      </c>
      <c r="AH96" s="265" t="str">
        <f>MID(Tabelle2[[#This Row],[bnr full]],8,3)</f>
        <v>840</v>
      </c>
      <c r="AI96" s="264" t="str">
        <f>MID(Tabelle2[[#This Row],[bnr full]],11,3)</f>
        <v>201</v>
      </c>
      <c r="AJ96" s="252" t="str">
        <f>MID(Tabelle2[[#This Row],[bnr full]],11,3)</f>
        <v>201</v>
      </c>
      <c r="AK96" s="197" t="s">
        <v>1635</v>
      </c>
      <c r="AL96" s="124" t="str">
        <f ca="1">Sprache!$A$111</f>
        <v>Комплект (Л + П)</v>
      </c>
      <c r="AM96" s="187" t="str">
        <f ca="1">Sprache!$A$117</f>
        <v>Направляющий рычаг, тип 5</v>
      </c>
      <c r="AN96" s="187" t="str">
        <f ca="1">Sprache!$A$121</f>
        <v>Силовой механизм B</v>
      </c>
      <c r="AO96" s="187" t="str">
        <f ca="1">Sprache!$A$144</f>
        <v>Адаптер под алюминиевые рамки к комплекту Kinvaro F-20</v>
      </c>
      <c r="AP96" s="187" t="s">
        <v>815</v>
      </c>
      <c r="AQ96" s="187">
        <v>400</v>
      </c>
      <c r="AR96" s="124">
        <v>1200</v>
      </c>
      <c r="AS96" s="187" t="str">
        <f ca="1">CONCATENATE("TIOMOS 110° ",Sprache!$A$150)</f>
        <v>TIOMOS 110° Шарнир для алюминиевой рамки</v>
      </c>
      <c r="AT96" s="187" t="str">
        <f ca="1">CONCATENATE("1D° ",Sprache!$A$149)</f>
        <v>1D° Монтажная плита</v>
      </c>
      <c r="AU96"/>
      <c r="AV96"/>
      <c r="AY96"/>
      <c r="AZ96"/>
      <c r="BA96"/>
      <c r="BB96"/>
      <c r="BC96"/>
    </row>
    <row r="97" spans="1:55" x14ac:dyDescent="0.25">
      <c r="A97" s="12" t="str">
        <f ca="1">IF(F97+G97+H97+I97+J97+D97+E97=3,IF(Tabelle2[[#This Row],[Kappe Weiß]]=Limits!$R$29,1,""),"")</f>
        <v/>
      </c>
      <c r="B97" s="12" t="str">
        <f ca="1">IF(G97+H97+I97+J97+E97+F97=2,IF(Tabelle2[[#This Row],[Kappe Weiß]]=Limits!$R$29,1,""),"")</f>
        <v/>
      </c>
      <c r="C97" s="291">
        <v>1</v>
      </c>
      <c r="D97" s="171">
        <f>IF(Limits!$P$3=TRUE,1,0)</f>
        <v>1</v>
      </c>
      <c r="E97" s="172">
        <f>IF(Daten!$P97+Daten!$Q97+Daten!$S97=3,1,0)</f>
        <v>0</v>
      </c>
      <c r="F97" s="173">
        <f ca="1">IF(AND(Limits!$Q$21=TRUE,Daten!O97=1)=TRUE,1,0)</f>
        <v>0</v>
      </c>
      <c r="G97" s="174">
        <f>IF(AND(Limits!$Q$25=TRUE,Daten!N97=1)=TRUE,1,0)</f>
        <v>0</v>
      </c>
      <c r="H97" s="174">
        <f>IF(AND(Limits!$Q$24=TRUE,Daten!M97=1)=TRUE,1,0)</f>
        <v>0</v>
      </c>
      <c r="I97" s="174">
        <f>IF(AND(Limits!$Q$23=TRUE,Daten!L97=1)=TRUE,1,0)</f>
        <v>0</v>
      </c>
      <c r="J97" s="174">
        <f>IF(AND(Limits!$Q$22=TRUE,Daten!K97=1)=TRUE,1,0)</f>
        <v>0</v>
      </c>
      <c r="K97" s="188">
        <f>IF(Daten!$V97=13,1,0)</f>
        <v>1</v>
      </c>
      <c r="L97" s="189">
        <f>IF(Daten!$V97&lt;&gt;Daten!$W97,1,IF(Daten!$V97=14,1,0))</f>
        <v>1</v>
      </c>
      <c r="M97" s="189">
        <f>IF(Daten!$V97&lt;&gt;Daten!$W97,1,IF(Daten!$V97=16,1,0))</f>
        <v>1</v>
      </c>
      <c r="N97" s="189">
        <f>IF(Daten!$W97=17,1,0)</f>
        <v>1</v>
      </c>
      <c r="O97" s="190">
        <f ca="1">IF(Daten!$X97=Sprache!$A$70,1,0)</f>
        <v>0</v>
      </c>
      <c r="P97" s="191">
        <f>IF(AND(Daten!$AQ97&lt;=KINVARO!$AW$3,Daten!$AR97&gt;=KINVARO!$AW$3)=TRUE,1,0)</f>
        <v>1</v>
      </c>
      <c r="Q97" s="192">
        <f>IF(AND(Daten!$AA97&lt;=KINVARO!$AW$4,Daten!$AB97&gt;=KINVARO!$AW$4)=TRUE,1,0)</f>
        <v>0</v>
      </c>
      <c r="R97" s="192"/>
      <c r="S97" s="192">
        <f>IF(AND(Daten!$AD97&lt;=Limits!$I$70,Daten!$AE97&gt;=Limits!$I$70)=TRUE,1,0)</f>
        <v>1</v>
      </c>
      <c r="T97" s="193">
        <f ca="1">IF(Daten!$Y97=Sprache!$A$135,1,0)</f>
        <v>0</v>
      </c>
      <c r="U97" s="124" t="str">
        <f ca="1">Sprache!$A$61</f>
        <v>F-20 Складной подъемник</v>
      </c>
      <c r="V97" s="194">
        <v>13</v>
      </c>
      <c r="W97" s="193">
        <v>17</v>
      </c>
      <c r="X97" s="187" t="str">
        <f ca="1">Sprache!$A$141</f>
        <v>Alu</v>
      </c>
      <c r="Y97" s="187" t="str">
        <f ca="1">Sprache!$A$136</f>
        <v>nein</v>
      </c>
      <c r="Z97" s="187" t="str">
        <f ca="1">Sprache!$A$106</f>
        <v>Korpus</v>
      </c>
      <c r="AA97" s="187">
        <v>650</v>
      </c>
      <c r="AB97" s="124">
        <v>699</v>
      </c>
      <c r="AC97" s="187"/>
      <c r="AD97" s="195">
        <v>6.7</v>
      </c>
      <c r="AE97" s="196">
        <v>16.899999999999999</v>
      </c>
      <c r="AF97" s="263" t="str">
        <f>MID(Tabelle2[[#This Row],[bnr full]],1,4)</f>
        <v>F152</v>
      </c>
      <c r="AG97" s="264" t="str">
        <f>MID(Tabelle2[[#This Row],[bnr full]],5,3)</f>
        <v>147</v>
      </c>
      <c r="AH97" s="265" t="str">
        <f>MID(Tabelle2[[#This Row],[bnr full]],8,3)</f>
        <v>843</v>
      </c>
      <c r="AI97" s="264" t="str">
        <f>MID(Tabelle2[[#This Row],[bnr full]],11,3)</f>
        <v>201</v>
      </c>
      <c r="AJ97" s="252" t="str">
        <f>MID(Tabelle2[[#This Row],[bnr full]],11,3)</f>
        <v>201</v>
      </c>
      <c r="AK97" s="197" t="s">
        <v>1636</v>
      </c>
      <c r="AL97" s="124" t="str">
        <f ca="1">Sprache!$A$111</f>
        <v>Комплект (Л + П)</v>
      </c>
      <c r="AM97" s="187" t="str">
        <f ca="1">Sprache!$A$117</f>
        <v>Направляющий рычаг, тип 5</v>
      </c>
      <c r="AN97" s="187" t="str">
        <f ca="1">Sprache!$A$122</f>
        <v>Силовой механизм C</v>
      </c>
      <c r="AO97" s="187" t="str">
        <f ca="1">Sprache!$A$144</f>
        <v>Адаптер под алюминиевые рамки к комплекту Kinvaro F-20</v>
      </c>
      <c r="AP97" s="187" t="s">
        <v>815</v>
      </c>
      <c r="AQ97" s="187">
        <v>400</v>
      </c>
      <c r="AR97" s="124">
        <v>1200</v>
      </c>
      <c r="AS97" s="187" t="str">
        <f ca="1">CONCATENATE("TIOMOS 110° ",Sprache!$A$150)</f>
        <v>TIOMOS 110° Шарнир для алюминиевой рамки</v>
      </c>
      <c r="AT97" s="187" t="str">
        <f ca="1">CONCATENATE("1D° ",Sprache!$A$149)</f>
        <v>1D° Монтажная плита</v>
      </c>
      <c r="AU97"/>
      <c r="AV97"/>
      <c r="AY97"/>
      <c r="AZ97"/>
      <c r="BA97"/>
      <c r="BB97"/>
      <c r="BC97"/>
    </row>
    <row r="98" spans="1:55" s="5" customFormat="1" x14ac:dyDescent="0.25">
      <c r="A98" s="12" t="str">
        <f ca="1">IF(F98+G98+H98+I98+J98+D98+E98=3,IF(Tabelle2[[#This Row],[Kappe Weiß]]=Limits!$R$29,1,""),"")</f>
        <v/>
      </c>
      <c r="B98" s="12" t="str">
        <f ca="1">IF(G98+H98+I98+J98+E98+F98=2,IF(Tabelle2[[#This Row],[Kappe Weiß]]=Limits!$R$29,1,""),"")</f>
        <v/>
      </c>
      <c r="C98" s="292">
        <v>1</v>
      </c>
      <c r="D98" s="171">
        <f>IF(Limits!$P$3=TRUE,1,0)</f>
        <v>1</v>
      </c>
      <c r="E98" s="172">
        <f>IF(Daten!$P98+Daten!$Q98+Daten!$S98=3,1,0)</f>
        <v>0</v>
      </c>
      <c r="F98" s="173">
        <f ca="1">IF(AND(Limits!$Q$21=TRUE,Daten!O98=1)=TRUE,1,0)</f>
        <v>1</v>
      </c>
      <c r="G98" s="174">
        <f ca="1">IF(AND(Limits!$Q$25=TRUE,Daten!N98=1)=TRUE,1,0)</f>
        <v>0</v>
      </c>
      <c r="H98" s="174">
        <f ca="1">IF(AND(Limits!$Q$24=TRUE,Daten!M98=1)=TRUE,1,0)</f>
        <v>0</v>
      </c>
      <c r="I98" s="174">
        <f ca="1">IF(AND(Limits!$Q$23=TRUE,Daten!L98=1)=TRUE,1,0)</f>
        <v>0</v>
      </c>
      <c r="J98" s="174">
        <f ca="1">IF(AND(Limits!$Q$22=TRUE,Daten!K98=1)=TRUE,1,0)</f>
        <v>0</v>
      </c>
      <c r="K98" s="188">
        <f ca="1">IF(Daten!$V98=13,1,0)</f>
        <v>0</v>
      </c>
      <c r="L98" s="189">
        <f ca="1">IF(Daten!$V98&lt;&gt;Daten!$W98,1,IF(Daten!$V98=14,1,0))</f>
        <v>0</v>
      </c>
      <c r="M98" s="189">
        <f ca="1">IF(Daten!$V98&lt;&gt;Daten!$W98,1,IF(Daten!$V98=16,1,0))</f>
        <v>0</v>
      </c>
      <c r="N98" s="189">
        <f ca="1">IF(Daten!$W98=17,1,0)</f>
        <v>0</v>
      </c>
      <c r="O98" s="190">
        <f ca="1">IF(Daten!$X98=Sprache!$A$70,1,0)</f>
        <v>1</v>
      </c>
      <c r="P98" s="198">
        <f>IF(AND(Daten!$AQ98&lt;=KINVARO!$AW$3,Daten!$AR98&gt;=KINVARO!$AW$3)=TRUE,1,0)</f>
        <v>1</v>
      </c>
      <c r="Q98" s="199">
        <f>IF(AND(Daten!$AA98&lt;=KINVARO!$AW$4,Daten!$AB98&gt;=KINVARO!$AW$4)=TRUE,1,0)</f>
        <v>0</v>
      </c>
      <c r="R98" s="199"/>
      <c r="S98" s="199">
        <f>IF(AND(Daten!$AD98&lt;=Limits!$I$70,Daten!$AE98&gt;=Limits!$I$70)=TRUE,1,0)</f>
        <v>1</v>
      </c>
      <c r="T98" s="200">
        <f ca="1">IF(Daten!$Y98=Sprache!$A$135,1,0)</f>
        <v>0</v>
      </c>
      <c r="U98" s="201" t="str">
        <f ca="1">Sprache!$A$61</f>
        <v>F-20 Складной подъемник</v>
      </c>
      <c r="V98" s="202" t="str">
        <f ca="1">Sprache!$A$74</f>
        <v>var</v>
      </c>
      <c r="W98" s="200" t="str">
        <f ca="1">Sprache!$A$74</f>
        <v>var</v>
      </c>
      <c r="X98" s="203" t="str">
        <f ca="1">Sprache!$A$70</f>
        <v>соединение с древесиной</v>
      </c>
      <c r="Y98" s="187" t="str">
        <f ca="1">Sprache!$A$136</f>
        <v>nein</v>
      </c>
      <c r="Z98" s="203" t="str">
        <f ca="1">Sprache!$A$106</f>
        <v>Korpus</v>
      </c>
      <c r="AA98" s="203">
        <v>700</v>
      </c>
      <c r="AB98" s="201">
        <v>749</v>
      </c>
      <c r="AC98" s="203"/>
      <c r="AD98" s="204">
        <v>6.5</v>
      </c>
      <c r="AE98" s="205">
        <v>16.399999999999999</v>
      </c>
      <c r="AF98" s="266" t="str">
        <f>MID(Tabelle2[[#This Row],[bnr full]],1,4)</f>
        <v>F152</v>
      </c>
      <c r="AG98" s="267" t="str">
        <f>MID(Tabelle2[[#This Row],[bnr full]],5,3)</f>
        <v>147</v>
      </c>
      <c r="AH98" s="268" t="str">
        <f>MID(Tabelle2[[#This Row],[bnr full]],8,3)</f>
        <v>844</v>
      </c>
      <c r="AI98" s="267" t="str">
        <f>MID(Tabelle2[[#This Row],[bnr full]],11,3)</f>
        <v>201</v>
      </c>
      <c r="AJ98" s="253" t="str">
        <f>MID(Tabelle2[[#This Row],[bnr full]],11,3)</f>
        <v>201</v>
      </c>
      <c r="AK98" s="206" t="s">
        <v>1637</v>
      </c>
      <c r="AL98" s="201" t="str">
        <f ca="1">Sprache!$A$111</f>
        <v>Комплект (Л + П)</v>
      </c>
      <c r="AM98" s="203" t="str">
        <f ca="1">Sprache!$A$118</f>
        <v>Направляющий рычаг, тип 6</v>
      </c>
      <c r="AN98" s="203" t="str">
        <f ca="1">Sprache!$A$122</f>
        <v>Силовой механизм C</v>
      </c>
      <c r="AO98" s="203" t="s">
        <v>25</v>
      </c>
      <c r="AP98" s="203" t="s">
        <v>25</v>
      </c>
      <c r="AQ98" s="203">
        <v>400</v>
      </c>
      <c r="AR98" s="201">
        <v>1200</v>
      </c>
      <c r="AS98" s="187" t="str">
        <f ca="1">CONCATENATE("TIOMOS 120° ",Sprache!$A$98)</f>
        <v>TIOMOS 120° Шарнир</v>
      </c>
      <c r="AT98" s="187" t="str">
        <f ca="1">CONCATENATE("1D° ",Sprache!$A$149)</f>
        <v>1D° Монтажная плита</v>
      </c>
    </row>
    <row r="99" spans="1:55" x14ac:dyDescent="0.25">
      <c r="A99" s="12" t="str">
        <f ca="1">IF(F99+G99+H99+I99+J99+D99+E99=3,IF(Tabelle2[[#This Row],[Kappe Weiß]]=Limits!$R$29,1,""),"")</f>
        <v/>
      </c>
      <c r="B99" s="12" t="str">
        <f ca="1">IF(G99+H99+I99+J99+E99+F99=2,IF(Tabelle2[[#This Row],[Kappe Weiß]]=Limits!$R$29,1,""),"")</f>
        <v/>
      </c>
      <c r="C99" s="291">
        <v>1</v>
      </c>
      <c r="D99" s="171">
        <f>IF(Limits!$P$3=TRUE,1,0)</f>
        <v>1</v>
      </c>
      <c r="E99" s="172">
        <f>IF(Daten!$P99+Daten!$Q99+Daten!$S99=3,1,0)</f>
        <v>0</v>
      </c>
      <c r="F99" s="173">
        <f ca="1">IF(AND(Limits!$Q$21=TRUE,Daten!O99=1)=TRUE,1,0)</f>
        <v>1</v>
      </c>
      <c r="G99" s="174">
        <f ca="1">IF(AND(Limits!$Q$25=TRUE,Daten!N99=1)=TRUE,1,0)</f>
        <v>0</v>
      </c>
      <c r="H99" s="174">
        <f ca="1">IF(AND(Limits!$Q$24=TRUE,Daten!M99=1)=TRUE,1,0)</f>
        <v>0</v>
      </c>
      <c r="I99" s="174">
        <f ca="1">IF(AND(Limits!$Q$23=TRUE,Daten!L99=1)=TRUE,1,0)</f>
        <v>0</v>
      </c>
      <c r="J99" s="174">
        <f ca="1">IF(AND(Limits!$Q$22=TRUE,Daten!K99=1)=TRUE,1,0)</f>
        <v>0</v>
      </c>
      <c r="K99" s="188">
        <f ca="1">IF(Daten!$V99=13,1,0)</f>
        <v>0</v>
      </c>
      <c r="L99" s="189">
        <f ca="1">IF(Daten!$V99&lt;&gt;Daten!$W99,1,IF(Daten!$V99=14,1,0))</f>
        <v>0</v>
      </c>
      <c r="M99" s="189">
        <f ca="1">IF(Daten!$V99&lt;&gt;Daten!$W99,1,IF(Daten!$V99=16,1,0))</f>
        <v>0</v>
      </c>
      <c r="N99" s="189">
        <f ca="1">IF(Daten!$W99=17,1,0)</f>
        <v>0</v>
      </c>
      <c r="O99" s="190">
        <f ca="1">IF(Daten!$X99=Sprache!$A$70,1,0)</f>
        <v>1</v>
      </c>
      <c r="P99" s="191">
        <f>IF(AND(Daten!$AQ99&lt;=KINVARO!$AW$3,Daten!$AR99&gt;=KINVARO!$AW$3)=TRUE,1,0)</f>
        <v>1</v>
      </c>
      <c r="Q99" s="192">
        <f>IF(AND(Daten!$AA99&lt;=KINVARO!$AW$4,Daten!$AB99&gt;=KINVARO!$AW$4)=TRUE,1,0)</f>
        <v>0</v>
      </c>
      <c r="R99" s="192"/>
      <c r="S99" s="192">
        <f>IF(AND(Daten!$AD99&lt;=Limits!$I$70,Daten!$AE99&gt;=Limits!$I$70)=TRUE,1,0)</f>
        <v>0</v>
      </c>
      <c r="T99" s="193">
        <f ca="1">IF(Daten!$Y99=Sprache!$A$135,1,0)</f>
        <v>0</v>
      </c>
      <c r="U99" s="124" t="str">
        <f ca="1">Sprache!$A$61</f>
        <v>F-20 Складной подъемник</v>
      </c>
      <c r="V99" s="194" t="str">
        <f ca="1">Sprache!$A$74</f>
        <v>var</v>
      </c>
      <c r="W99" s="193" t="str">
        <f ca="1">Sprache!$A$74</f>
        <v>var</v>
      </c>
      <c r="X99" s="187" t="str">
        <f ca="1">Sprache!$A$70</f>
        <v>соединение с древесиной</v>
      </c>
      <c r="Y99" s="187" t="str">
        <f ca="1">Sprache!$A$136</f>
        <v>nein</v>
      </c>
      <c r="Z99" s="187" t="str">
        <f ca="1">Sprache!$A$106</f>
        <v>Korpus</v>
      </c>
      <c r="AA99" s="187">
        <v>700</v>
      </c>
      <c r="AB99" s="124">
        <v>749</v>
      </c>
      <c r="AC99" s="187"/>
      <c r="AD99" s="195">
        <v>10</v>
      </c>
      <c r="AE99" s="196">
        <v>18</v>
      </c>
      <c r="AF99" s="263" t="str">
        <f>MID(Tabelle2[[#This Row],[bnr full]],1,4)</f>
        <v>F152</v>
      </c>
      <c r="AG99" s="264" t="str">
        <f>MID(Tabelle2[[#This Row],[bnr full]],5,3)</f>
        <v>147</v>
      </c>
      <c r="AH99" s="265" t="str">
        <f>MID(Tabelle2[[#This Row],[bnr full]],8,3)</f>
        <v>846</v>
      </c>
      <c r="AI99" s="264" t="str">
        <f>MID(Tabelle2[[#This Row],[bnr full]],11,3)</f>
        <v>201</v>
      </c>
      <c r="AJ99" s="252" t="str">
        <f>MID(Tabelle2[[#This Row],[bnr full]],11,3)</f>
        <v>201</v>
      </c>
      <c r="AK99" s="197" t="s">
        <v>1638</v>
      </c>
      <c r="AL99" s="124" t="str">
        <f ca="1">Sprache!$A$111</f>
        <v>Комплект (Л + П)</v>
      </c>
      <c r="AM99" s="187" t="str">
        <f ca="1">Sprache!$A$118</f>
        <v>Направляющий рычаг, тип 6</v>
      </c>
      <c r="AN99" s="187" t="str">
        <f ca="1">Sprache!$A$123</f>
        <v>Силовой механизм D</v>
      </c>
      <c r="AO99" s="187" t="s">
        <v>25</v>
      </c>
      <c r="AP99" s="187" t="s">
        <v>25</v>
      </c>
      <c r="AQ99" s="187">
        <v>400</v>
      </c>
      <c r="AR99" s="124">
        <v>1200</v>
      </c>
      <c r="AS99" s="187" t="str">
        <f ca="1">CONCATENATE("TIOMOS 120° ",Sprache!$A$98)</f>
        <v>TIOMOS 120° Шарнир</v>
      </c>
      <c r="AT99" s="187" t="str">
        <f ca="1">CONCATENATE("1D° ",Sprache!$A$149)</f>
        <v>1D° Монтажная плита</v>
      </c>
      <c r="AU99"/>
      <c r="AV99"/>
      <c r="AY99"/>
      <c r="AZ99"/>
      <c r="BA99"/>
      <c r="BB99"/>
      <c r="BC99"/>
    </row>
    <row r="100" spans="1:55" x14ac:dyDescent="0.25">
      <c r="A100" s="12" t="str">
        <f ca="1">IF(F100+G100+H100+I100+J100+D100+E100=3,IF(Tabelle2[[#This Row],[Kappe Weiß]]=Limits!$R$29,1,""),"")</f>
        <v/>
      </c>
      <c r="B100" s="12" t="str">
        <f ca="1">IF(G100+H100+I100+J100+E100+F100=2,IF(Tabelle2[[#This Row],[Kappe Weiß]]=Limits!$R$29,1,""),"")</f>
        <v/>
      </c>
      <c r="C100" s="291">
        <v>1</v>
      </c>
      <c r="D100" s="171">
        <f>IF(Limits!$P$3=TRUE,1,0)</f>
        <v>1</v>
      </c>
      <c r="E100" s="172">
        <f>IF(Daten!$P100+Daten!$Q100+Daten!$S100=3,1,0)</f>
        <v>0</v>
      </c>
      <c r="F100" s="173">
        <f ca="1">IF(AND(Limits!$Q$21=TRUE,Daten!O100=1)=TRUE,1,0)</f>
        <v>0</v>
      </c>
      <c r="G100" s="174">
        <f>IF(AND(Limits!$Q$25=TRUE,Daten!N100=1)=TRUE,1,0)</f>
        <v>0</v>
      </c>
      <c r="H100" s="174">
        <f>IF(AND(Limits!$Q$24=TRUE,Daten!M100=1)=TRUE,1,0)</f>
        <v>0</v>
      </c>
      <c r="I100" s="174">
        <f>IF(AND(Limits!$Q$23=TRUE,Daten!L100=1)=TRUE,1,0)</f>
        <v>0</v>
      </c>
      <c r="J100" s="174">
        <f>IF(AND(Limits!$Q$22=TRUE,Daten!K100=1)=TRUE,1,0)</f>
        <v>0</v>
      </c>
      <c r="K100" s="188">
        <f>IF(Daten!$V100=13,1,0)</f>
        <v>1</v>
      </c>
      <c r="L100" s="189">
        <f>IF(Daten!$V100&lt;&gt;Daten!$W100,1,IF(Daten!$V100=14,1,0))</f>
        <v>1</v>
      </c>
      <c r="M100" s="189">
        <f>IF(Daten!$V100&lt;&gt;Daten!$W100,1,IF(Daten!$V100=16,1,0))</f>
        <v>1</v>
      </c>
      <c r="N100" s="189">
        <f>IF(Daten!$W100=17,1,0)</f>
        <v>1</v>
      </c>
      <c r="O100" s="190">
        <f ca="1">IF(Daten!$X100=Sprache!$A$70,1,0)</f>
        <v>0</v>
      </c>
      <c r="P100" s="191">
        <f>IF(AND(Daten!$AQ100&lt;=KINVARO!$AW$3,Daten!$AR100&gt;=KINVARO!$AW$3)=TRUE,1,0)</f>
        <v>1</v>
      </c>
      <c r="Q100" s="192">
        <f>IF(AND(Daten!$AA100&lt;=KINVARO!$AW$4,Daten!$AB100&gt;=KINVARO!$AW$4)=TRUE,1,0)</f>
        <v>0</v>
      </c>
      <c r="R100" s="192"/>
      <c r="S100" s="192">
        <f>IF(AND(Daten!$AD100&lt;=Limits!$I$70,Daten!$AE100&gt;=Limits!$I$70)=TRUE,1,0)</f>
        <v>1</v>
      </c>
      <c r="T100" s="193">
        <f ca="1">IF(Daten!$Y100=Sprache!$A$135,1,0)</f>
        <v>0</v>
      </c>
      <c r="U100" s="124" t="str">
        <f ca="1">Sprache!$A$61</f>
        <v>F-20 Складной подъемник</v>
      </c>
      <c r="V100" s="194">
        <v>13</v>
      </c>
      <c r="W100" s="193">
        <v>17</v>
      </c>
      <c r="X100" s="187" t="str">
        <f ca="1">Sprache!$A$141</f>
        <v>Alu</v>
      </c>
      <c r="Y100" s="187" t="str">
        <f ca="1">Sprache!$A$136</f>
        <v>nein</v>
      </c>
      <c r="Z100" s="187" t="str">
        <f ca="1">Sprache!$A$106</f>
        <v>Korpus</v>
      </c>
      <c r="AA100" s="187">
        <v>700</v>
      </c>
      <c r="AB100" s="124">
        <v>749</v>
      </c>
      <c r="AC100" s="187"/>
      <c r="AD100" s="195">
        <v>6.5</v>
      </c>
      <c r="AE100" s="196">
        <v>16.399999999999999</v>
      </c>
      <c r="AF100" s="263" t="str">
        <f>MID(Tabelle2[[#This Row],[bnr full]],1,4)</f>
        <v>F152</v>
      </c>
      <c r="AG100" s="264" t="str">
        <f>MID(Tabelle2[[#This Row],[bnr full]],5,3)</f>
        <v>147</v>
      </c>
      <c r="AH100" s="265" t="str">
        <f>MID(Tabelle2[[#This Row],[bnr full]],8,3)</f>
        <v>844</v>
      </c>
      <c r="AI100" s="264" t="str">
        <f>MID(Tabelle2[[#This Row],[bnr full]],11,3)</f>
        <v>201</v>
      </c>
      <c r="AJ100" s="252" t="str">
        <f>MID(Tabelle2[[#This Row],[bnr full]],11,3)</f>
        <v>201</v>
      </c>
      <c r="AK100" s="206" t="s">
        <v>1637</v>
      </c>
      <c r="AL100" s="124" t="str">
        <f ca="1">Sprache!$A$111</f>
        <v>Комплект (Л + П)</v>
      </c>
      <c r="AM100" s="187" t="str">
        <f ca="1">Sprache!$A$118</f>
        <v>Направляющий рычаг, тип 6</v>
      </c>
      <c r="AN100" s="187" t="str">
        <f ca="1">Sprache!$A$122</f>
        <v>Силовой механизм C</v>
      </c>
      <c r="AO100" s="187" t="str">
        <f ca="1">Sprache!$A$144</f>
        <v>Адаптер под алюминиевые рамки к комплекту Kinvaro F-20</v>
      </c>
      <c r="AP100" s="187" t="s">
        <v>815</v>
      </c>
      <c r="AQ100" s="187">
        <v>400</v>
      </c>
      <c r="AR100" s="124">
        <v>1200</v>
      </c>
      <c r="AS100" s="187" t="str">
        <f ca="1">CONCATENATE("TIOMOS 110° ",Sprache!$A$150)</f>
        <v>TIOMOS 110° Шарнир для алюминиевой рамки</v>
      </c>
      <c r="AT100" s="187" t="str">
        <f ca="1">CONCATENATE("1D° ",Sprache!$A$149)</f>
        <v>1D° Монтажная плита</v>
      </c>
      <c r="AU100"/>
      <c r="AV100"/>
      <c r="AY100"/>
      <c r="AZ100"/>
      <c r="BA100"/>
      <c r="BB100"/>
      <c r="BC100"/>
    </row>
    <row r="101" spans="1:55" s="5" customFormat="1" x14ac:dyDescent="0.25">
      <c r="A101" s="12" t="str">
        <f ca="1">IF(F101+G101+H101+I101+J101+D101+E101=3,IF(Tabelle2[[#This Row],[Kappe Weiß]]=Limits!$R$29,1,""),"")</f>
        <v/>
      </c>
      <c r="B101" s="12" t="str">
        <f ca="1">IF(G101+H101+I101+J101+E101+F101=2,IF(Tabelle2[[#This Row],[Kappe Weiß]]=Limits!$R$29,1,""),"")</f>
        <v/>
      </c>
      <c r="C101" s="291">
        <v>1</v>
      </c>
      <c r="D101" s="171">
        <f>IF(Limits!$P$3=TRUE,1,0)</f>
        <v>1</v>
      </c>
      <c r="E101" s="172">
        <f>IF(Daten!$P101+Daten!$Q101+Daten!$S101=3,1,0)</f>
        <v>0</v>
      </c>
      <c r="F101" s="173">
        <f ca="1">IF(AND(Limits!$Q$21=TRUE,Daten!O101=1)=TRUE,1,0)</f>
        <v>0</v>
      </c>
      <c r="G101" s="174">
        <f>IF(AND(Limits!$Q$25=TRUE,Daten!N101=1)=TRUE,1,0)</f>
        <v>0</v>
      </c>
      <c r="H101" s="174">
        <f>IF(AND(Limits!$Q$24=TRUE,Daten!M101=1)=TRUE,1,0)</f>
        <v>0</v>
      </c>
      <c r="I101" s="174">
        <f>IF(AND(Limits!$Q$23=TRUE,Daten!L101=1)=TRUE,1,0)</f>
        <v>0</v>
      </c>
      <c r="J101" s="174">
        <f>IF(AND(Limits!$Q$22=TRUE,Daten!K101=1)=TRUE,1,0)</f>
        <v>0</v>
      </c>
      <c r="K101" s="188">
        <f>IF(Daten!$V101=13,1,0)</f>
        <v>1</v>
      </c>
      <c r="L101" s="189">
        <f>IF(Daten!$V101&lt;&gt;Daten!$W101,1,IF(Daten!$V101=14,1,0))</f>
        <v>1</v>
      </c>
      <c r="M101" s="189">
        <f>IF(Daten!$V101&lt;&gt;Daten!$W101,1,IF(Daten!$V101=16,1,0))</f>
        <v>1</v>
      </c>
      <c r="N101" s="189">
        <f>IF(Daten!$W101=17,1,0)</f>
        <v>1</v>
      </c>
      <c r="O101" s="190">
        <f ca="1">IF(Daten!$X101=Sprache!$A$70,1,0)</f>
        <v>0</v>
      </c>
      <c r="P101" s="191">
        <f>IF(AND(Daten!$AQ101&lt;=KINVARO!$AW$3,Daten!$AR101&gt;=KINVARO!$AW$3)=TRUE,1,0)</f>
        <v>1</v>
      </c>
      <c r="Q101" s="192">
        <f>IF(AND(Daten!$AA101&lt;=KINVARO!$AW$4,Daten!$AB101&gt;=KINVARO!$AW$4)=TRUE,1,0)</f>
        <v>0</v>
      </c>
      <c r="R101" s="192"/>
      <c r="S101" s="192">
        <f>IF(AND(Daten!$AD101&lt;=Limits!$I$70,Daten!$AE101&gt;=Limits!$I$70)=TRUE,1,0)</f>
        <v>0</v>
      </c>
      <c r="T101" s="193">
        <f ca="1">IF(Daten!$Y101=Sprache!$A$135,1,0)</f>
        <v>0</v>
      </c>
      <c r="U101" s="124" t="str">
        <f ca="1">Sprache!$A$61</f>
        <v>F-20 Складной подъемник</v>
      </c>
      <c r="V101" s="194">
        <v>13</v>
      </c>
      <c r="W101" s="193">
        <v>17</v>
      </c>
      <c r="X101" s="187" t="str">
        <f ca="1">Sprache!$A$141</f>
        <v>Alu</v>
      </c>
      <c r="Y101" s="187" t="str">
        <f ca="1">Sprache!$A$136</f>
        <v>nein</v>
      </c>
      <c r="Z101" s="187" t="str">
        <f ca="1">Sprache!$A$106</f>
        <v>Korpus</v>
      </c>
      <c r="AA101" s="187">
        <v>700</v>
      </c>
      <c r="AB101" s="124">
        <v>749</v>
      </c>
      <c r="AC101" s="187"/>
      <c r="AD101" s="195">
        <v>10</v>
      </c>
      <c r="AE101" s="196">
        <v>18</v>
      </c>
      <c r="AF101" s="263" t="str">
        <f>MID(Tabelle2[[#This Row],[bnr full]],1,4)</f>
        <v>F152</v>
      </c>
      <c r="AG101" s="264" t="str">
        <f>MID(Tabelle2[[#This Row],[bnr full]],5,3)</f>
        <v>147</v>
      </c>
      <c r="AH101" s="265" t="str">
        <f>MID(Tabelle2[[#This Row],[bnr full]],8,3)</f>
        <v>846</v>
      </c>
      <c r="AI101" s="264" t="str">
        <f>MID(Tabelle2[[#This Row],[bnr full]],11,3)</f>
        <v>201</v>
      </c>
      <c r="AJ101" s="252" t="str">
        <f>MID(Tabelle2[[#This Row],[bnr full]],11,3)</f>
        <v>201</v>
      </c>
      <c r="AK101" s="197" t="s">
        <v>1638</v>
      </c>
      <c r="AL101" s="124" t="str">
        <f ca="1">Sprache!$A$111</f>
        <v>Комплект (Л + П)</v>
      </c>
      <c r="AM101" s="187" t="str">
        <f ca="1">Sprache!$A$118</f>
        <v>Направляющий рычаг, тип 6</v>
      </c>
      <c r="AN101" s="187" t="str">
        <f ca="1">Sprache!$A$123</f>
        <v>Силовой механизм D</v>
      </c>
      <c r="AO101" s="187" t="str">
        <f ca="1">Sprache!$A$144</f>
        <v>Адаптер под алюминиевые рамки к комплекту Kinvaro F-20</v>
      </c>
      <c r="AP101" s="187" t="s">
        <v>815</v>
      </c>
      <c r="AQ101" s="187">
        <v>400</v>
      </c>
      <c r="AR101" s="124">
        <v>1200</v>
      </c>
      <c r="AS101" s="187" t="str">
        <f ca="1">CONCATENATE("TIOMOS 110° ",Sprache!$A$150)</f>
        <v>TIOMOS 110° Шарнир для алюминиевой рамки</v>
      </c>
      <c r="AT101" s="187" t="str">
        <f ca="1">CONCATENATE("1D° ",Sprache!$A$149)</f>
        <v>1D° Монтажная плита</v>
      </c>
    </row>
    <row r="102" spans="1:55" x14ac:dyDescent="0.25">
      <c r="A102" s="12" t="str">
        <f ca="1">IF(F102+G102+H102+I102+J102+D102+E102=3,IF(Tabelle2[[#This Row],[Kappe Weiß]]=Limits!$R$29,1,""),"")</f>
        <v/>
      </c>
      <c r="B102" s="12" t="str">
        <f ca="1">IF(G102+H102+I102+J102+E102+F102=2,IF(Tabelle2[[#This Row],[Kappe Weiß]]=Limits!$R$29,1,""),"")</f>
        <v/>
      </c>
      <c r="C102" s="292">
        <v>1</v>
      </c>
      <c r="D102" s="171">
        <f>IF(Limits!$P$3=TRUE,1,0)</f>
        <v>1</v>
      </c>
      <c r="E102" s="172">
        <f>IF(Daten!$P102+Daten!$Q102+Daten!$S102=3,1,0)</f>
        <v>1</v>
      </c>
      <c r="F102" s="173">
        <f ca="1">IF(AND(Limits!$Q$21=TRUE,Daten!O102=1)=TRUE,1,0)</f>
        <v>1</v>
      </c>
      <c r="G102" s="174">
        <f ca="1">IF(AND(Limits!$Q$25=TRUE,Daten!N102=1)=TRUE,1,0)</f>
        <v>0</v>
      </c>
      <c r="H102" s="174">
        <f ca="1">IF(AND(Limits!$Q$24=TRUE,Daten!M102=1)=TRUE,1,0)</f>
        <v>0</v>
      </c>
      <c r="I102" s="174">
        <f ca="1">IF(AND(Limits!$Q$23=TRUE,Daten!L102=1)=TRUE,1,0)</f>
        <v>0</v>
      </c>
      <c r="J102" s="174">
        <f ca="1">IF(AND(Limits!$Q$22=TRUE,Daten!K102=1)=TRUE,1,0)</f>
        <v>0</v>
      </c>
      <c r="K102" s="188">
        <f ca="1">IF(Daten!$V102=13,1,0)</f>
        <v>0</v>
      </c>
      <c r="L102" s="189">
        <f ca="1">IF(Daten!$V102&lt;&gt;Daten!$W102,1,IF(Daten!$V102=14,1,0))</f>
        <v>0</v>
      </c>
      <c r="M102" s="189">
        <f ca="1">IF(Daten!$V102&lt;&gt;Daten!$W102,1,IF(Daten!$V102=16,1,0))</f>
        <v>0</v>
      </c>
      <c r="N102" s="189">
        <f ca="1">IF(Daten!$W102=17,1,0)</f>
        <v>0</v>
      </c>
      <c r="O102" s="190">
        <f ca="1">IF(Daten!$X102=Sprache!$A$70,1,0)</f>
        <v>1</v>
      </c>
      <c r="P102" s="198">
        <f>IF(AND(Daten!$AQ102&lt;=KINVARO!$AW$3,Daten!$AR102&gt;=KINVARO!$AW$3)=TRUE,1,0)</f>
        <v>1</v>
      </c>
      <c r="Q102" s="199">
        <f>IF(AND(Daten!$AA102&lt;=KINVARO!$AW$4,Daten!$AB102&gt;=KINVARO!$AW$4)=TRUE,1,0)</f>
        <v>1</v>
      </c>
      <c r="R102" s="199"/>
      <c r="S102" s="199">
        <f>IF(AND(Daten!$AD102&lt;=Limits!$I$70,Daten!$AE102&gt;=Limits!$I$70)=TRUE,1,0)</f>
        <v>1</v>
      </c>
      <c r="T102" s="200">
        <f ca="1">IF(Daten!$Y102=Sprache!$A$135,1,0)</f>
        <v>0</v>
      </c>
      <c r="U102" s="201" t="str">
        <f ca="1">Sprache!$A$61</f>
        <v>F-20 Складной подъемник</v>
      </c>
      <c r="V102" s="202" t="str">
        <f ca="1">Sprache!$A$74</f>
        <v>var</v>
      </c>
      <c r="W102" s="200" t="str">
        <f ca="1">Sprache!$A$74</f>
        <v>var</v>
      </c>
      <c r="X102" s="203" t="str">
        <f ca="1">Sprache!$A$70</f>
        <v>соединение с древесиной</v>
      </c>
      <c r="Y102" s="187" t="str">
        <f ca="1">Sprache!$A$136</f>
        <v>nein</v>
      </c>
      <c r="Z102" s="203" t="str">
        <f ca="1">Sprache!$A$106</f>
        <v>Korpus</v>
      </c>
      <c r="AA102" s="203">
        <v>750</v>
      </c>
      <c r="AB102" s="201">
        <v>800</v>
      </c>
      <c r="AC102" s="203"/>
      <c r="AD102" s="204">
        <v>6</v>
      </c>
      <c r="AE102" s="205">
        <v>15.6</v>
      </c>
      <c r="AF102" s="266" t="str">
        <f>MID(Tabelle2[[#This Row],[bnr full]],1,4)</f>
        <v>F152</v>
      </c>
      <c r="AG102" s="267" t="str">
        <f>MID(Tabelle2[[#This Row],[bnr full]],5,3)</f>
        <v>147</v>
      </c>
      <c r="AH102" s="268" t="str">
        <f>MID(Tabelle2[[#This Row],[bnr full]],8,3)</f>
        <v>787</v>
      </c>
      <c r="AI102" s="267" t="str">
        <f>MID(Tabelle2[[#This Row],[bnr full]],11,3)</f>
        <v>201</v>
      </c>
      <c r="AJ102" s="253" t="str">
        <f>MID(Tabelle2[[#This Row],[bnr full]],11,3)</f>
        <v>201</v>
      </c>
      <c r="AK102" s="206" t="s">
        <v>1639</v>
      </c>
      <c r="AL102" s="201" t="str">
        <f ca="1">Sprache!$A$111</f>
        <v>Комплект (Л + П)</v>
      </c>
      <c r="AM102" s="203" t="str">
        <f ca="1">Sprache!$A$119</f>
        <v>Направляющий рычаг, тип 7</v>
      </c>
      <c r="AN102" s="203" t="str">
        <f ca="1">Sprache!$A$122</f>
        <v>Силовой механизм C</v>
      </c>
      <c r="AO102" s="203" t="s">
        <v>25</v>
      </c>
      <c r="AP102" s="203" t="s">
        <v>25</v>
      </c>
      <c r="AQ102" s="203">
        <v>400</v>
      </c>
      <c r="AR102" s="201">
        <v>1200</v>
      </c>
      <c r="AS102" s="187" t="str">
        <f ca="1">CONCATENATE("TIOMOS 120° ",Sprache!$A$98)</f>
        <v>TIOMOS 120° Шарнир</v>
      </c>
      <c r="AT102" s="187" t="str">
        <f ca="1">CONCATENATE("1D° ",Sprache!$A$149)</f>
        <v>1D° Монтажная плита</v>
      </c>
      <c r="AU102"/>
      <c r="AV102"/>
      <c r="AY102"/>
      <c r="AZ102"/>
      <c r="BA102"/>
      <c r="BB102"/>
      <c r="BC102"/>
    </row>
    <row r="103" spans="1:55" x14ac:dyDescent="0.25">
      <c r="A103" s="12" t="str">
        <f ca="1">IF(F103+G103+H103+I103+J103+D103+E103=3,IF(Tabelle2[[#This Row],[Kappe Weiß]]=Limits!$R$29,1,""),"")</f>
        <v/>
      </c>
      <c r="B103" s="12" t="str">
        <f ca="1">IF(G103+H103+I103+J103+E103+F103=2,IF(Tabelle2[[#This Row],[Kappe Weiß]]=Limits!$R$29,1,""),"")</f>
        <v/>
      </c>
      <c r="C103" s="291">
        <v>1</v>
      </c>
      <c r="D103" s="171">
        <f>IF(Limits!$P$3=TRUE,1,0)</f>
        <v>1</v>
      </c>
      <c r="E103" s="172">
        <f>IF(Daten!$P103+Daten!$Q103+Daten!$S103=3,1,0)</f>
        <v>1</v>
      </c>
      <c r="F103" s="173">
        <f ca="1">IF(AND(Limits!$Q$21=TRUE,Daten!O103=1)=TRUE,1,0)</f>
        <v>1</v>
      </c>
      <c r="G103" s="174">
        <f ca="1">IF(AND(Limits!$Q$25=TRUE,Daten!N103=1)=TRUE,1,0)</f>
        <v>0</v>
      </c>
      <c r="H103" s="174">
        <f ca="1">IF(AND(Limits!$Q$24=TRUE,Daten!M103=1)=TRUE,1,0)</f>
        <v>0</v>
      </c>
      <c r="I103" s="174">
        <f ca="1">IF(AND(Limits!$Q$23=TRUE,Daten!L103=1)=TRUE,1,0)</f>
        <v>0</v>
      </c>
      <c r="J103" s="174">
        <f ca="1">IF(AND(Limits!$Q$22=TRUE,Daten!K103=1)=TRUE,1,0)</f>
        <v>0</v>
      </c>
      <c r="K103" s="188">
        <f ca="1">IF(Daten!$V103=13,1,0)</f>
        <v>0</v>
      </c>
      <c r="L103" s="189">
        <f ca="1">IF(Daten!$V103&lt;&gt;Daten!$W103,1,IF(Daten!$V103=14,1,0))</f>
        <v>0</v>
      </c>
      <c r="M103" s="189">
        <f ca="1">IF(Daten!$V103&lt;&gt;Daten!$W103,1,IF(Daten!$V103=16,1,0))</f>
        <v>0</v>
      </c>
      <c r="N103" s="189">
        <f ca="1">IF(Daten!$W103=17,1,0)</f>
        <v>0</v>
      </c>
      <c r="O103" s="190">
        <f ca="1">IF(Daten!$X103=Sprache!$A$70,1,0)</f>
        <v>1</v>
      </c>
      <c r="P103" s="191">
        <f>IF(AND(Daten!$AQ103&lt;=KINVARO!$AW$3,Daten!$AR103&gt;=KINVARO!$AW$3)=TRUE,1,0)</f>
        <v>1</v>
      </c>
      <c r="Q103" s="192">
        <f>IF(AND(Daten!$AA103&lt;=KINVARO!$AW$4,Daten!$AB103&gt;=KINVARO!$AW$4)=TRUE,1,0)</f>
        <v>1</v>
      </c>
      <c r="R103" s="192"/>
      <c r="S103" s="192">
        <f>IF(AND(Daten!$AD103&lt;=Limits!$I$70,Daten!$AE103&gt;=Limits!$I$70)=TRUE,1,0)</f>
        <v>1</v>
      </c>
      <c r="T103" s="193">
        <f ca="1">IF(Daten!$Y103=Sprache!$A$135,1,0)</f>
        <v>0</v>
      </c>
      <c r="U103" s="187" t="str">
        <f ca="1">Sprache!$A$61</f>
        <v>F-20 Складной подъемник</v>
      </c>
      <c r="V103" s="194" t="str">
        <f ca="1">Sprache!$A$74</f>
        <v>var</v>
      </c>
      <c r="W103" s="193" t="str">
        <f ca="1">Sprache!$A$74</f>
        <v>var</v>
      </c>
      <c r="X103" s="187" t="str">
        <f ca="1">Sprache!$A$70</f>
        <v>соединение с древесиной</v>
      </c>
      <c r="Y103" s="187" t="str">
        <f ca="1">Sprache!$A$136</f>
        <v>nein</v>
      </c>
      <c r="Z103" s="187" t="str">
        <f ca="1">Sprache!$A$106</f>
        <v>Korpus</v>
      </c>
      <c r="AA103" s="187">
        <v>750</v>
      </c>
      <c r="AB103" s="124">
        <v>800</v>
      </c>
      <c r="AC103" s="187"/>
      <c r="AD103" s="195">
        <v>8.6</v>
      </c>
      <c r="AE103" s="196">
        <v>19.2</v>
      </c>
      <c r="AF103" s="263" t="str">
        <f>MID(Tabelle2[[#This Row],[bnr full]],1,4)</f>
        <v>F152</v>
      </c>
      <c r="AG103" s="264" t="str">
        <f>MID(Tabelle2[[#This Row],[bnr full]],5,3)</f>
        <v>147</v>
      </c>
      <c r="AH103" s="265" t="str">
        <f>MID(Tabelle2[[#This Row],[bnr full]],8,3)</f>
        <v>847</v>
      </c>
      <c r="AI103" s="264" t="str">
        <f>MID(Tabelle2[[#This Row],[bnr full]],11,3)</f>
        <v>201</v>
      </c>
      <c r="AJ103" s="252" t="str">
        <f>MID(Tabelle2[[#This Row],[bnr full]],11,3)</f>
        <v>201</v>
      </c>
      <c r="AK103" s="197" t="s">
        <v>1640</v>
      </c>
      <c r="AL103" s="124" t="str">
        <f ca="1">Sprache!$A$111</f>
        <v>Комплект (Л + П)</v>
      </c>
      <c r="AM103" s="187" t="str">
        <f ca="1">Sprache!$A$119</f>
        <v>Направляющий рычаг, тип 7</v>
      </c>
      <c r="AN103" s="187" t="str">
        <f ca="1">Sprache!$A$123</f>
        <v>Силовой механизм D</v>
      </c>
      <c r="AO103" s="187" t="s">
        <v>25</v>
      </c>
      <c r="AP103" s="187" t="s">
        <v>25</v>
      </c>
      <c r="AQ103" s="187">
        <v>400</v>
      </c>
      <c r="AR103" s="124">
        <v>1200</v>
      </c>
      <c r="AS103" s="187" t="str">
        <f ca="1">CONCATENATE("TIOMOS 120° ",Sprache!$A$98)</f>
        <v>TIOMOS 120° Шарнир</v>
      </c>
      <c r="AT103" s="187" t="str">
        <f ca="1">CONCATENATE("1D° ",Sprache!$A$149)</f>
        <v>1D° Монтажная плита</v>
      </c>
      <c r="AU103"/>
      <c r="AV103"/>
      <c r="AY103"/>
      <c r="AZ103"/>
      <c r="BA103"/>
      <c r="BB103"/>
      <c r="BC103"/>
    </row>
    <row r="104" spans="1:55" s="5" customFormat="1" x14ac:dyDescent="0.25">
      <c r="A104" s="12" t="str">
        <f ca="1">IF(F104+G104+H104+I104+J104+D104+E104=3,IF(Tabelle2[[#This Row],[Kappe Weiß]]=Limits!$R$29,1,""),"")</f>
        <v/>
      </c>
      <c r="B104" s="12" t="str">
        <f ca="1">IF(G104+H104+I104+J104+E104+F104=2,IF(Tabelle2[[#This Row],[Kappe Weiß]]=Limits!$R$29,1,""),"")</f>
        <v/>
      </c>
      <c r="C104" s="291">
        <v>1</v>
      </c>
      <c r="D104" s="171">
        <f>IF(Limits!$P$3=TRUE,1,0)</f>
        <v>1</v>
      </c>
      <c r="E104" s="172">
        <f>IF(Daten!$P104+Daten!$Q104+Daten!$S104=3,1,0)</f>
        <v>1</v>
      </c>
      <c r="F104" s="173">
        <f ca="1">IF(AND(Limits!$Q$21=TRUE,Daten!O104=1)=TRUE,1,0)</f>
        <v>0</v>
      </c>
      <c r="G104" s="174">
        <f>IF(AND(Limits!$Q$25=TRUE,Daten!N104=1)=TRUE,1,0)</f>
        <v>0</v>
      </c>
      <c r="H104" s="174">
        <f>IF(AND(Limits!$Q$24=TRUE,Daten!M104=1)=TRUE,1,0)</f>
        <v>0</v>
      </c>
      <c r="I104" s="174">
        <f>IF(AND(Limits!$Q$23=TRUE,Daten!L104=1)=TRUE,1,0)</f>
        <v>0</v>
      </c>
      <c r="J104" s="174">
        <f>IF(AND(Limits!$Q$22=TRUE,Daten!K104=1)=TRUE,1,0)</f>
        <v>0</v>
      </c>
      <c r="K104" s="188">
        <f>IF(Daten!$V104=13,1,0)</f>
        <v>1</v>
      </c>
      <c r="L104" s="189">
        <f>IF(Daten!$V104&lt;&gt;Daten!$W104,1,IF(Daten!$V104=14,1,0))</f>
        <v>1</v>
      </c>
      <c r="M104" s="189">
        <f>IF(Daten!$V104&lt;&gt;Daten!$W104,1,IF(Daten!$V104=16,1,0))</f>
        <v>1</v>
      </c>
      <c r="N104" s="189">
        <f>IF(Daten!$W104=17,1,0)</f>
        <v>1</v>
      </c>
      <c r="O104" s="190">
        <f ca="1">IF(Daten!$X104=Sprache!$A$70,1,0)</f>
        <v>0</v>
      </c>
      <c r="P104" s="191">
        <f>IF(AND(Daten!$AQ104&lt;=KINVARO!$AW$3,Daten!$AR104&gt;=KINVARO!$AW$3)=TRUE,1,0)</f>
        <v>1</v>
      </c>
      <c r="Q104" s="192">
        <f>IF(AND(Daten!$AA104&lt;=KINVARO!$AW$4,Daten!$AB104&gt;=KINVARO!$AW$4)=TRUE,1,0)</f>
        <v>1</v>
      </c>
      <c r="R104" s="192"/>
      <c r="S104" s="192">
        <f>IF(AND(Daten!$AD104&lt;=Limits!$I$70,Daten!$AE104&gt;=Limits!$I$70)=TRUE,1,0)</f>
        <v>1</v>
      </c>
      <c r="T104" s="193">
        <f ca="1">IF(Daten!$Y104=Sprache!$A$135,1,0)</f>
        <v>0</v>
      </c>
      <c r="U104" s="124" t="str">
        <f ca="1">Sprache!$A$61</f>
        <v>F-20 Складной подъемник</v>
      </c>
      <c r="V104" s="194">
        <v>13</v>
      </c>
      <c r="W104" s="193">
        <v>17</v>
      </c>
      <c r="X104" s="187" t="str">
        <f ca="1">Sprache!$A$141</f>
        <v>Alu</v>
      </c>
      <c r="Y104" s="187" t="str">
        <f ca="1">Sprache!$A$136</f>
        <v>nein</v>
      </c>
      <c r="Z104" s="187" t="str">
        <f ca="1">Sprache!$A$106</f>
        <v>Korpus</v>
      </c>
      <c r="AA104" s="187">
        <v>750</v>
      </c>
      <c r="AB104" s="124">
        <v>800</v>
      </c>
      <c r="AC104" s="187"/>
      <c r="AD104" s="195">
        <v>6</v>
      </c>
      <c r="AE104" s="196">
        <v>15.6</v>
      </c>
      <c r="AF104" s="263" t="str">
        <f>MID(Tabelle2[[#This Row],[bnr full]],1,4)</f>
        <v>F152</v>
      </c>
      <c r="AG104" s="264" t="str">
        <f>MID(Tabelle2[[#This Row],[bnr full]],5,3)</f>
        <v>147</v>
      </c>
      <c r="AH104" s="265" t="str">
        <f>MID(Tabelle2[[#This Row],[bnr full]],8,3)</f>
        <v>787</v>
      </c>
      <c r="AI104" s="264" t="str">
        <f>MID(Tabelle2[[#This Row],[bnr full]],11,3)</f>
        <v>201</v>
      </c>
      <c r="AJ104" s="252" t="str">
        <f>MID(Tabelle2[[#This Row],[bnr full]],11,3)</f>
        <v>201</v>
      </c>
      <c r="AK104" s="197" t="s">
        <v>1639</v>
      </c>
      <c r="AL104" s="124" t="str">
        <f ca="1">Sprache!$A$111</f>
        <v>Комплект (Л + П)</v>
      </c>
      <c r="AM104" s="187" t="str">
        <f ca="1">Sprache!$A$119</f>
        <v>Направляющий рычаг, тип 7</v>
      </c>
      <c r="AN104" s="187" t="str">
        <f ca="1">Sprache!$A$122</f>
        <v>Силовой механизм C</v>
      </c>
      <c r="AO104" s="187" t="str">
        <f ca="1">Sprache!$A$144</f>
        <v>Адаптер под алюминиевые рамки к комплекту Kinvaro F-20</v>
      </c>
      <c r="AP104" s="187" t="s">
        <v>815</v>
      </c>
      <c r="AQ104" s="187">
        <v>400</v>
      </c>
      <c r="AR104" s="124">
        <v>1200</v>
      </c>
      <c r="AS104" s="187" t="str">
        <f ca="1">CONCATENATE("TIOMOS 110° ",Sprache!$A$150)</f>
        <v>TIOMOS 110° Шарнир для алюминиевой рамки</v>
      </c>
      <c r="AT104" s="187" t="str">
        <f ca="1">CONCATENATE("1D° ",Sprache!$A$149)</f>
        <v>1D° Монтажная плита</v>
      </c>
    </row>
    <row r="105" spans="1:55" x14ac:dyDescent="0.25">
      <c r="A105" s="12" t="str">
        <f ca="1">IF(F105+G105+H105+I105+J105+D105+E105=3,IF(Tabelle2[[#This Row],[Kappe Weiß]]=Limits!$R$29,1,""),"")</f>
        <v/>
      </c>
      <c r="B105" s="12" t="str">
        <f ca="1">IF(G105+H105+I105+J105+E105+F105=2,IF(Tabelle2[[#This Row],[Kappe Weiß]]=Limits!$R$29,1,""),"")</f>
        <v/>
      </c>
      <c r="C105" s="294">
        <v>1</v>
      </c>
      <c r="D105" s="207">
        <f>IF(Limits!$P$3=TRUE,1,0)</f>
        <v>1</v>
      </c>
      <c r="E105" s="172">
        <f>IF(Daten!$P105+Daten!$Q105+Daten!$S105=3,1,0)</f>
        <v>1</v>
      </c>
      <c r="F105" s="173">
        <f ca="1">IF(AND(Limits!$Q$21=TRUE,Daten!O105=1)=TRUE,1,0)</f>
        <v>0</v>
      </c>
      <c r="G105" s="174">
        <f>IF(AND(Limits!$Q$25=TRUE,Daten!N105=1)=TRUE,1,0)</f>
        <v>0</v>
      </c>
      <c r="H105" s="174">
        <f>IF(AND(Limits!$Q$24=TRUE,Daten!M105=1)=TRUE,1,0)</f>
        <v>0</v>
      </c>
      <c r="I105" s="174">
        <f>IF(AND(Limits!$Q$23=TRUE,Daten!L105=1)=TRUE,1,0)</f>
        <v>0</v>
      </c>
      <c r="J105" s="174">
        <f>IF(AND(Limits!$Q$22=TRUE,Daten!K105=1)=TRUE,1,0)</f>
        <v>0</v>
      </c>
      <c r="K105" s="188">
        <f>IF(Daten!$V105=13,1,0)</f>
        <v>1</v>
      </c>
      <c r="L105" s="189">
        <f>IF(Daten!$V105&lt;&gt;Daten!$W105,1,IF(Daten!$V105=14,1,0))</f>
        <v>1</v>
      </c>
      <c r="M105" s="189">
        <f>IF(Daten!$V105&lt;&gt;Daten!$W105,1,IF(Daten!$V105=16,1,0))</f>
        <v>1</v>
      </c>
      <c r="N105" s="189">
        <f>IF(Daten!$W105=17,1,0)</f>
        <v>1</v>
      </c>
      <c r="O105" s="190">
        <f ca="1">IF(Daten!$X105=Sprache!$A$70,1,0)</f>
        <v>0</v>
      </c>
      <c r="P105" s="217">
        <f>IF(AND(Daten!$AQ105&lt;=KINVARO!$AW$3,Daten!$AR105&gt;=KINVARO!$AW$3)=TRUE,1,0)</f>
        <v>1</v>
      </c>
      <c r="Q105" s="218">
        <f>IF(AND(Daten!$AA105&lt;=KINVARO!$AW$4,Daten!$AB105&gt;=KINVARO!$AW$4)=TRUE,1,0)</f>
        <v>1</v>
      </c>
      <c r="R105" s="218"/>
      <c r="S105" s="218">
        <f>IF(AND(Daten!$AD105&lt;=Limits!$I$70,Daten!$AE105&gt;=Limits!$I$70)=TRUE,1,0)</f>
        <v>1</v>
      </c>
      <c r="T105" s="219">
        <f ca="1">IF(Daten!$Y105=Sprache!$A$135,1,0)</f>
        <v>0</v>
      </c>
      <c r="U105" s="220" t="str">
        <f ca="1">Sprache!$A$61</f>
        <v>F-20 Складной подъемник</v>
      </c>
      <c r="V105" s="221">
        <v>13</v>
      </c>
      <c r="W105" s="219">
        <v>17</v>
      </c>
      <c r="X105" s="220" t="str">
        <f ca="1">Sprache!$A$141</f>
        <v>Alu</v>
      </c>
      <c r="Y105" s="220" t="str">
        <f ca="1">Sprache!$A$136</f>
        <v>nein</v>
      </c>
      <c r="Z105" s="220" t="str">
        <f ca="1">Sprache!$A$106</f>
        <v>Korpus</v>
      </c>
      <c r="AA105" s="220">
        <v>750</v>
      </c>
      <c r="AB105" s="132">
        <v>800</v>
      </c>
      <c r="AC105" s="220"/>
      <c r="AD105" s="222">
        <v>8.6</v>
      </c>
      <c r="AE105" s="223">
        <v>19.2</v>
      </c>
      <c r="AF105" s="272" t="str">
        <f>MID(Tabelle2[[#This Row],[bnr full]],1,4)</f>
        <v>F152</v>
      </c>
      <c r="AG105" s="273" t="str">
        <f>MID(Tabelle2[[#This Row],[bnr full]],5,3)</f>
        <v>147</v>
      </c>
      <c r="AH105" s="274" t="str">
        <f>MID(Tabelle2[[#This Row],[bnr full]],8,3)</f>
        <v>847</v>
      </c>
      <c r="AI105" s="273" t="str">
        <f>MID(Tabelle2[[#This Row],[bnr full]],11,3)</f>
        <v>201</v>
      </c>
      <c r="AJ105" s="255" t="str">
        <f>MID(Tabelle2[[#This Row],[bnr full]],11,3)</f>
        <v>201</v>
      </c>
      <c r="AK105" s="224" t="s">
        <v>1640</v>
      </c>
      <c r="AL105" s="132" t="str">
        <f ca="1">Sprache!$A$111</f>
        <v>Комплект (Л + П)</v>
      </c>
      <c r="AM105" s="220" t="str">
        <f ca="1">Sprache!$A$119</f>
        <v>Направляющий рычаг, тип 7</v>
      </c>
      <c r="AN105" s="220" t="str">
        <f ca="1">Sprache!$A$123</f>
        <v>Силовой механизм D</v>
      </c>
      <c r="AO105" s="220" t="str">
        <f ca="1">Sprache!$A$144</f>
        <v>Адаптер под алюминиевые рамки к комплекту Kinvaro F-20</v>
      </c>
      <c r="AP105" s="220" t="s">
        <v>815</v>
      </c>
      <c r="AQ105" s="220">
        <v>400</v>
      </c>
      <c r="AR105" s="132">
        <v>1200</v>
      </c>
      <c r="AS105" s="220" t="str">
        <f ca="1">CONCATENATE("TIOMOS 110° ",Sprache!$A$150)</f>
        <v>TIOMOS 110° Шарнир для алюминиевой рамки</v>
      </c>
      <c r="AT105" s="220" t="str">
        <f ca="1">CONCATENATE("1D° ",Sprache!$A$149)</f>
        <v>1D° Монтажная плита</v>
      </c>
      <c r="AU105"/>
      <c r="AV105"/>
      <c r="AY105"/>
      <c r="AZ105"/>
      <c r="BA105"/>
      <c r="BB105"/>
      <c r="BC105"/>
    </row>
    <row r="106" spans="1:55" x14ac:dyDescent="0.25">
      <c r="A106" s="12" t="str">
        <f ca="1">IF(F106+G106+H106+I106+J106+D106+E106=3,IF(Tabelle2[[#This Row],[Kappe Weiß]]=Limits!$R$29,1,""),"")</f>
        <v/>
      </c>
      <c r="B106" s="12" t="str">
        <f ca="1">IF(G106+H106+I106+J106+E106+F106=2,IF(Tabelle2[[#This Row],[Kappe Weiß]]=Limits!$R$29,1,""),"")</f>
        <v/>
      </c>
      <c r="C106" s="291">
        <v>1</v>
      </c>
      <c r="D106" s="171">
        <f>IF(Limits!$P$3=TRUE,1,0)</f>
        <v>1</v>
      </c>
      <c r="E106" s="172">
        <f>IF(Daten!$P106+Daten!$Q106+Daten!$S106=3,1,0)</f>
        <v>0</v>
      </c>
      <c r="F106" s="173">
        <f ca="1">IF(AND(Limits!$Q$21=TRUE,Daten!O106=1)=TRUE,1,0)</f>
        <v>1</v>
      </c>
      <c r="G106" s="174">
        <f ca="1">IF(AND(Limits!$Q$25=TRUE,Daten!N106=1)=TRUE,1,0)</f>
        <v>0</v>
      </c>
      <c r="H106" s="174">
        <f ca="1">IF(AND(Limits!$Q$24=TRUE,Daten!M106=1)=TRUE,1,0)</f>
        <v>0</v>
      </c>
      <c r="I106" s="174">
        <f ca="1">IF(AND(Limits!$Q$23=TRUE,Daten!L106=1)=TRUE,1,0)</f>
        <v>0</v>
      </c>
      <c r="J106" s="174">
        <f ca="1">IF(AND(Limits!$Q$22=TRUE,Daten!K106=1)=TRUE,1,0)</f>
        <v>0</v>
      </c>
      <c r="K106" s="188">
        <f ca="1">IF(Daten!$V106=13,1,0)</f>
        <v>0</v>
      </c>
      <c r="L106" s="189">
        <f ca="1">IF(Daten!$V106&lt;&gt;Daten!$W106,1,IF(Daten!$V106=14,1,0))</f>
        <v>0</v>
      </c>
      <c r="M106" s="189">
        <f ca="1">IF(Daten!$V106&lt;&gt;Daten!$W106,1,IF(Daten!$V106=16,1,0))</f>
        <v>0</v>
      </c>
      <c r="N106" s="189">
        <f ca="1">IF(Daten!$W106=17,1,0)</f>
        <v>0</v>
      </c>
      <c r="O106" s="190">
        <f ca="1">IF(Daten!$X106=Sprache!$A$70,1,0)</f>
        <v>1</v>
      </c>
      <c r="P106" s="191">
        <f>IF(AND(Daten!$AQ106&lt;=KINVARO!$AW$3,Daten!$AR106&gt;=KINVARO!$AW$3)=TRUE,1,0)</f>
        <v>1</v>
      </c>
      <c r="Q106" s="192">
        <f>IF(AND(Daten!$AA106&lt;=KINVARO!$AW$4,Daten!$AB106&gt;=KINVARO!$AW$4)=TRUE,1,0)</f>
        <v>0</v>
      </c>
      <c r="R106" s="192"/>
      <c r="S106" s="192">
        <f>IF(AND(Daten!$AD106&lt;=Limits!$I$70,Daten!$AE106&gt;=Limits!$I$70)=TRUE,1,0)</f>
        <v>1</v>
      </c>
      <c r="T106" s="193">
        <f ca="1">IF(Daten!$Y106=Sprache!$A$135,1,0)</f>
        <v>0</v>
      </c>
      <c r="U106" s="187" t="str">
        <f ca="1">Sprache!$A$61</f>
        <v>F-20 Складной подъемник</v>
      </c>
      <c r="V106" s="202" t="str">
        <f ca="1">Sprache!$A$74</f>
        <v>var</v>
      </c>
      <c r="W106" s="200" t="str">
        <f ca="1">Sprache!$A$74</f>
        <v>var</v>
      </c>
      <c r="X106" s="203" t="str">
        <f ca="1">Sprache!$A$70</f>
        <v>соединение с древесиной</v>
      </c>
      <c r="Y106" s="187" t="str">
        <f ca="1">Sprache!$A$136</f>
        <v>nein</v>
      </c>
      <c r="Z106" s="187" t="str">
        <f ca="1">Sprache!$A$79</f>
        <v>Створка</v>
      </c>
      <c r="AA106" s="187">
        <v>801</v>
      </c>
      <c r="AB106" s="124">
        <v>849</v>
      </c>
      <c r="AC106" s="187"/>
      <c r="AD106" s="195">
        <v>7.8</v>
      </c>
      <c r="AE106" s="196">
        <v>18</v>
      </c>
      <c r="AF106" s="263" t="str">
        <f>MID(Tabelle2[[#This Row],[bnr full]],1,4)</f>
        <v>F152</v>
      </c>
      <c r="AG106" s="264" t="str">
        <f>MID(Tabelle2[[#This Row],[bnr full]],5,3)</f>
        <v>147</v>
      </c>
      <c r="AH106" s="265" t="str">
        <f>MID(Tabelle2[[#This Row],[bnr full]],8,3)</f>
        <v>847</v>
      </c>
      <c r="AI106" s="264" t="str">
        <f>MID(Tabelle2[[#This Row],[bnr full]],11,3)</f>
        <v>201</v>
      </c>
      <c r="AJ106" s="252" t="str">
        <f>MID(Tabelle2[[#This Row],[bnr full]],11,3)</f>
        <v>201</v>
      </c>
      <c r="AK106" s="197" t="s">
        <v>1640</v>
      </c>
      <c r="AL106" s="124" t="str">
        <f ca="1">Sprache!$A$111</f>
        <v>Комплект (Л + П)</v>
      </c>
      <c r="AM106" s="187" t="str">
        <f ca="1">Sprache!$A$119</f>
        <v>Направляющий рычаг, тип 7</v>
      </c>
      <c r="AN106" s="187" t="str">
        <f ca="1">Sprache!$A$123</f>
        <v>Силовой механизм D</v>
      </c>
      <c r="AO106" s="187" t="s">
        <v>25</v>
      </c>
      <c r="AP106" s="187" t="s">
        <v>25</v>
      </c>
      <c r="AQ106" s="187">
        <v>400</v>
      </c>
      <c r="AR106" s="124">
        <v>1200</v>
      </c>
      <c r="AS106" s="187" t="str">
        <f ca="1">CONCATENATE("TIOMOS 120° ",Sprache!$A$98)</f>
        <v>TIOMOS 120° Шарнир</v>
      </c>
      <c r="AT106" s="187" t="str">
        <f ca="1">CONCATENATE("1D° ",Sprache!$A$149)</f>
        <v>1D° Монтажная плита</v>
      </c>
      <c r="AU106"/>
      <c r="AV106"/>
      <c r="AY106"/>
      <c r="AZ106"/>
      <c r="BA106"/>
      <c r="BB106"/>
      <c r="BC106"/>
    </row>
    <row r="107" spans="1:55" s="5" customFormat="1" x14ac:dyDescent="0.25">
      <c r="A107" s="239" t="str">
        <f ca="1">IF(F107+G107+H107+I107+J107+D107+E107=3,IF(Tabelle2[[#This Row],[Kappe Weiß]]=Limits!$R$29,1,""),"")</f>
        <v/>
      </c>
      <c r="B107" s="239" t="str">
        <f ca="1">IF(G107+H107+I107+J107+E107+F107=2,IF(Tabelle2[[#This Row],[Kappe Weiß]]=Limits!$R$29,1,""),"")</f>
        <v/>
      </c>
      <c r="C107" s="294">
        <v>1</v>
      </c>
      <c r="D107" s="207">
        <f>IF(Limits!$P$3=TRUE,1,0)</f>
        <v>1</v>
      </c>
      <c r="E107" s="240">
        <f>IF(Daten!$P107+Daten!$Q107+Daten!$S107=3,1,0)</f>
        <v>0</v>
      </c>
      <c r="F107" s="241">
        <f ca="1">IF(AND(Limits!$Q$21=TRUE,Daten!O107=1)=TRUE,1,0)</f>
        <v>0</v>
      </c>
      <c r="G107" s="242">
        <f>IF(AND(Limits!$Q$25=TRUE,Daten!N107=1)=TRUE,1,0)</f>
        <v>0</v>
      </c>
      <c r="H107" s="242">
        <f>IF(AND(Limits!$Q$24=TRUE,Daten!M107=1)=TRUE,1,0)</f>
        <v>0</v>
      </c>
      <c r="I107" s="242">
        <f>IF(AND(Limits!$Q$23=TRUE,Daten!L107=1)=TRUE,1,0)</f>
        <v>0</v>
      </c>
      <c r="J107" s="242">
        <f>IF(AND(Limits!$Q$22=TRUE,Daten!K107=1)=TRUE,1,0)</f>
        <v>0</v>
      </c>
      <c r="K107" s="243">
        <f>IF(Daten!$V107=13,1,0)</f>
        <v>1</v>
      </c>
      <c r="L107" s="244">
        <f>IF(Daten!$V107&lt;&gt;Daten!$W107,1,IF(Daten!$V107=14,1,0))</f>
        <v>1</v>
      </c>
      <c r="M107" s="244">
        <f>IF(Daten!$V107&lt;&gt;Daten!$W107,1,IF(Daten!$V107=16,1,0))</f>
        <v>1</v>
      </c>
      <c r="N107" s="244">
        <f>IF(Daten!$W107=17,1,0)</f>
        <v>1</v>
      </c>
      <c r="O107" s="245">
        <f ca="1">IF(Daten!$X107=Sprache!$A$70,1,0)</f>
        <v>0</v>
      </c>
      <c r="P107" s="217">
        <f>IF(AND(Daten!$AQ107&lt;=KINVARO!$AW$3,Daten!$AR107&gt;=KINVARO!$AW$3)=TRUE,1,0)</f>
        <v>1</v>
      </c>
      <c r="Q107" s="218">
        <f>IF(AND(Daten!$AA107&lt;=KINVARO!$AW$4,Daten!$AB107&gt;=KINVARO!$AW$4)=TRUE,1,0)</f>
        <v>0</v>
      </c>
      <c r="R107" s="218"/>
      <c r="S107" s="218">
        <f>IF(AND(Daten!$AD107&lt;=Limits!$I$70,Daten!$AE107&gt;=Limits!$I$70)=TRUE,1,0)</f>
        <v>1</v>
      </c>
      <c r="T107" s="219">
        <f ca="1">IF(Daten!$Y107=Sprache!$A$135,1,0)</f>
        <v>0</v>
      </c>
      <c r="U107" s="220" t="str">
        <f ca="1">Sprache!$A$61</f>
        <v>F-20 Складной подъемник</v>
      </c>
      <c r="V107" s="221">
        <v>13</v>
      </c>
      <c r="W107" s="219">
        <v>17</v>
      </c>
      <c r="X107" s="220" t="str">
        <f ca="1">Sprache!$A$141</f>
        <v>Alu</v>
      </c>
      <c r="Y107" s="220" t="str">
        <f ca="1">Sprache!$A$136</f>
        <v>nein</v>
      </c>
      <c r="Z107" s="220" t="str">
        <f ca="1">Sprache!$A$79</f>
        <v>Створка</v>
      </c>
      <c r="AA107" s="220">
        <v>801</v>
      </c>
      <c r="AB107" s="132">
        <v>849</v>
      </c>
      <c r="AC107" s="220"/>
      <c r="AD107" s="222">
        <v>7.8</v>
      </c>
      <c r="AE107" s="223">
        <v>18</v>
      </c>
      <c r="AF107" s="272" t="str">
        <f>MID(Tabelle2[[#This Row],[bnr full]],1,4)</f>
        <v>F152</v>
      </c>
      <c r="AG107" s="273" t="str">
        <f>MID(Tabelle2[[#This Row],[bnr full]],5,3)</f>
        <v>147</v>
      </c>
      <c r="AH107" s="274" t="str">
        <f>MID(Tabelle2[[#This Row],[bnr full]],8,3)</f>
        <v>847</v>
      </c>
      <c r="AI107" s="273" t="str">
        <f>MID(Tabelle2[[#This Row],[bnr full]],11,3)</f>
        <v>201</v>
      </c>
      <c r="AJ107" s="255" t="str">
        <f>MID(Tabelle2[[#This Row],[bnr full]],11,3)</f>
        <v>201</v>
      </c>
      <c r="AK107" s="224" t="s">
        <v>1640</v>
      </c>
      <c r="AL107" s="132" t="str">
        <f ca="1">Sprache!$A$111</f>
        <v>Комплект (Л + П)</v>
      </c>
      <c r="AM107" s="220" t="str">
        <f ca="1">Sprache!$A$119</f>
        <v>Направляющий рычаг, тип 7</v>
      </c>
      <c r="AN107" s="220" t="str">
        <f ca="1">Sprache!$A$123</f>
        <v>Силовой механизм D</v>
      </c>
      <c r="AO107" s="220" t="str">
        <f ca="1">Sprache!$A$144</f>
        <v>Адаптер под алюминиевые рамки к комплекту Kinvaro F-20</v>
      </c>
      <c r="AP107" s="246" t="s">
        <v>815</v>
      </c>
      <c r="AQ107" s="220">
        <v>400</v>
      </c>
      <c r="AR107" s="132">
        <v>1200</v>
      </c>
      <c r="AS107" s="220" t="str">
        <f ca="1">CONCATENATE("TIOMOS 110° ",Sprache!$A$150)</f>
        <v>TIOMOS 110° Шарнир для алюминиевой рамки</v>
      </c>
      <c r="AT107" s="220" t="str">
        <f ca="1">CONCATENATE("1D° ",Sprache!$A$149)</f>
        <v>1D° Монтажная плита</v>
      </c>
    </row>
    <row r="108" spans="1:55" x14ac:dyDescent="0.25">
      <c r="A108" s="12" t="str">
        <f ca="1">IF(F108+G108+H108+I108+J108+D108+E108=3,IF(Tabelle2[[#This Row],[Kappe Weiß]]=Limits!$R$29,1,""),"")</f>
        <v/>
      </c>
      <c r="B108" s="12" t="str">
        <f ca="1">IF(G108+H108+I108+J108+E108+F108=2,IF(Tabelle2[[#This Row],[Kappe Weiß]]=Limits!$R$29,1,""),"")</f>
        <v/>
      </c>
      <c r="C108" s="291">
        <v>1</v>
      </c>
      <c r="D108" s="171">
        <f>IF(Limits!$P$3=TRUE,1,0)</f>
        <v>1</v>
      </c>
      <c r="E108" s="172">
        <f>IF(Daten!$P108+Daten!$Q108+Daten!$S108=3,1,0)</f>
        <v>0</v>
      </c>
      <c r="F108" s="173">
        <f ca="1">IF(AND(Limits!$Q$21=TRUE,Daten!O108=1)=TRUE,1,0)</f>
        <v>1</v>
      </c>
      <c r="G108" s="174">
        <f ca="1">IF(AND(Limits!$Q$25=TRUE,Daten!N108=1)=TRUE,1,0)</f>
        <v>0</v>
      </c>
      <c r="H108" s="174">
        <f ca="1">IF(AND(Limits!$Q$24=TRUE,Daten!M108=1)=TRUE,1,0)</f>
        <v>0</v>
      </c>
      <c r="I108" s="174">
        <f ca="1">IF(AND(Limits!$Q$23=TRUE,Daten!L108=1)=TRUE,1,0)</f>
        <v>0</v>
      </c>
      <c r="J108" s="174">
        <f ca="1">IF(AND(Limits!$Q$22=TRUE,Daten!K108=1)=TRUE,1,0)</f>
        <v>0</v>
      </c>
      <c r="K108" s="188">
        <f ca="1">IF(Daten!$V108=13,1,0)</f>
        <v>0</v>
      </c>
      <c r="L108" s="189">
        <f ca="1">IF(Daten!$V108&lt;&gt;Daten!$W108,1,IF(Daten!$V108=14,1,0))</f>
        <v>0</v>
      </c>
      <c r="M108" s="189">
        <f ca="1">IF(Daten!$V108&lt;&gt;Daten!$W108,1,IF(Daten!$V108=16,1,0))</f>
        <v>0</v>
      </c>
      <c r="N108" s="189">
        <f ca="1">IF(Daten!$W108=17,1,0)</f>
        <v>0</v>
      </c>
      <c r="O108" s="190">
        <f ca="1">IF(Daten!$X108=Sprache!$A$70,1,0)</f>
        <v>1</v>
      </c>
      <c r="P108" s="191">
        <f>IF(AND(Daten!$AQ108&lt;=KINVARO!$AW$3,Daten!$AR108&gt;=KINVARO!$AW$3)=TRUE,1,0)</f>
        <v>1</v>
      </c>
      <c r="Q108" s="192">
        <f>IF(AND(Daten!$AA108&lt;=KINVARO!$AW$4,Daten!$AB108&gt;=KINVARO!$AW$4)=TRUE,1,0)</f>
        <v>0</v>
      </c>
      <c r="R108" s="192"/>
      <c r="S108" s="192">
        <f>IF(AND(Daten!$AD108&lt;=Limits!$I$70,Daten!$AE108&gt;=Limits!$I$70)=TRUE,1,0)</f>
        <v>1</v>
      </c>
      <c r="T108" s="193">
        <f ca="1">IF(Daten!$Y108=Sprache!$A$135,1,0)</f>
        <v>0</v>
      </c>
      <c r="U108" s="187" t="str">
        <f ca="1">Sprache!$A$61</f>
        <v>F-20 Складной подъемник</v>
      </c>
      <c r="V108" s="202" t="str">
        <f ca="1">Sprache!$A$74</f>
        <v>var</v>
      </c>
      <c r="W108" s="200" t="str">
        <f ca="1">Sprache!$A$74</f>
        <v>var</v>
      </c>
      <c r="X108" s="203" t="str">
        <f ca="1">Sprache!$A$70</f>
        <v>соединение с древесиной</v>
      </c>
      <c r="Y108" s="187" t="str">
        <f ca="1">Sprache!$A$136</f>
        <v>nein</v>
      </c>
      <c r="Z108" s="187" t="str">
        <f ca="1">Sprache!$A$79</f>
        <v>Створка</v>
      </c>
      <c r="AA108" s="187">
        <v>850</v>
      </c>
      <c r="AB108" s="124">
        <v>900</v>
      </c>
      <c r="AC108" s="187"/>
      <c r="AD108" s="195">
        <v>6.5</v>
      </c>
      <c r="AE108" s="196">
        <v>16.5</v>
      </c>
      <c r="AF108" s="263" t="str">
        <f>MID(Tabelle2[[#This Row],[bnr full]],1,4)</f>
        <v>F152</v>
      </c>
      <c r="AG108" s="264" t="str">
        <f>MID(Tabelle2[[#This Row],[bnr full]],5,3)</f>
        <v>147</v>
      </c>
      <c r="AH108" s="265" t="str">
        <f>MID(Tabelle2[[#This Row],[bnr full]],8,3)</f>
        <v>847</v>
      </c>
      <c r="AI108" s="264" t="str">
        <f>MID(Tabelle2[[#This Row],[bnr full]],11,3)</f>
        <v>201</v>
      </c>
      <c r="AJ108" s="252" t="str">
        <f>MID(Tabelle2[[#This Row],[bnr full]],11,3)</f>
        <v>201</v>
      </c>
      <c r="AK108" s="197" t="s">
        <v>1640</v>
      </c>
      <c r="AL108" s="124" t="str">
        <f ca="1">Sprache!$A$111</f>
        <v>Комплект (Л + П)</v>
      </c>
      <c r="AM108" s="187" t="str">
        <f ca="1">Sprache!$A$119</f>
        <v>Направляющий рычаг, тип 7</v>
      </c>
      <c r="AN108" s="187" t="str">
        <f ca="1">Sprache!$A$123</f>
        <v>Силовой механизм D</v>
      </c>
      <c r="AO108" s="187" t="s">
        <v>25</v>
      </c>
      <c r="AP108" s="187" t="s">
        <v>25</v>
      </c>
      <c r="AQ108" s="187">
        <v>400</v>
      </c>
      <c r="AR108" s="124">
        <v>1200</v>
      </c>
      <c r="AS108" s="187" t="str">
        <f ca="1">CONCATENATE("TIOMOS 120° ",Sprache!$A$98)</f>
        <v>TIOMOS 120° Шарнир</v>
      </c>
      <c r="AT108" s="187" t="str">
        <f ca="1">CONCATENATE("1D° ",Sprache!$A$149)</f>
        <v>1D° Монтажная плита</v>
      </c>
      <c r="AU108"/>
      <c r="AV108"/>
      <c r="AY108"/>
      <c r="AZ108"/>
      <c r="BA108"/>
      <c r="BB108"/>
      <c r="BC108"/>
    </row>
    <row r="109" spans="1:55" s="5" customFormat="1" x14ac:dyDescent="0.25">
      <c r="A109" s="239" t="str">
        <f ca="1">IF(F109+G109+H109+I109+J109+D109+E109=3,IF(Tabelle2[[#This Row],[Kappe Weiß]]=Limits!$R$29,1,""),"")</f>
        <v/>
      </c>
      <c r="B109" s="239" t="str">
        <f ca="1">IF(G109+H109+I109+J109+E109+F109=2,IF(Tabelle2[[#This Row],[Kappe Weiß]]=Limits!$R$29,1,""),"")</f>
        <v/>
      </c>
      <c r="C109" s="294">
        <v>1</v>
      </c>
      <c r="D109" s="207">
        <f>IF(Limits!$P$3=TRUE,1,0)</f>
        <v>1</v>
      </c>
      <c r="E109" s="240">
        <f>IF(Daten!$P109+Daten!$Q109+Daten!$S109=3,1,0)</f>
        <v>0</v>
      </c>
      <c r="F109" s="241">
        <f ca="1">IF(AND(Limits!$Q$21=TRUE,Daten!O109=1)=TRUE,1,0)</f>
        <v>0</v>
      </c>
      <c r="G109" s="242">
        <f>IF(AND(Limits!$Q$25=TRUE,Daten!N109=1)=TRUE,1,0)</f>
        <v>0</v>
      </c>
      <c r="H109" s="242">
        <f>IF(AND(Limits!$Q$24=TRUE,Daten!M109=1)=TRUE,1,0)</f>
        <v>0</v>
      </c>
      <c r="I109" s="242">
        <f>IF(AND(Limits!$Q$23=TRUE,Daten!L109=1)=TRUE,1,0)</f>
        <v>0</v>
      </c>
      <c r="J109" s="242">
        <f>IF(AND(Limits!$Q$22=TRUE,Daten!K109=1)=TRUE,1,0)</f>
        <v>0</v>
      </c>
      <c r="K109" s="243">
        <f>IF(Daten!$V109=13,1,0)</f>
        <v>1</v>
      </c>
      <c r="L109" s="244">
        <f>IF(Daten!$V109&lt;&gt;Daten!$W109,1,IF(Daten!$V109=14,1,0))</f>
        <v>1</v>
      </c>
      <c r="M109" s="244">
        <f>IF(Daten!$V109&lt;&gt;Daten!$W109,1,IF(Daten!$V109=16,1,0))</f>
        <v>1</v>
      </c>
      <c r="N109" s="244">
        <f>IF(Daten!$W109=17,1,0)</f>
        <v>1</v>
      </c>
      <c r="O109" s="245">
        <f ca="1">IF(Daten!$X109=Sprache!$A$70,1,0)</f>
        <v>0</v>
      </c>
      <c r="P109" s="217">
        <f>IF(AND(Daten!$AQ109&lt;=KINVARO!$AW$3,Daten!$AR109&gt;=KINVARO!$AW$3)=TRUE,1,0)</f>
        <v>1</v>
      </c>
      <c r="Q109" s="218">
        <f>IF(AND(Daten!$AA109&lt;=KINVARO!$AW$4,Daten!$AB109&gt;=KINVARO!$AW$4)=TRUE,1,0)</f>
        <v>0</v>
      </c>
      <c r="R109" s="218"/>
      <c r="S109" s="218">
        <f>IF(AND(Daten!$AD109&lt;=Limits!$I$70,Daten!$AE109&gt;=Limits!$I$70)=TRUE,1,0)</f>
        <v>1</v>
      </c>
      <c r="T109" s="219">
        <f ca="1">IF(Daten!$Y109=Sprache!$A$135,1,0)</f>
        <v>0</v>
      </c>
      <c r="U109" s="220" t="str">
        <f ca="1">Sprache!$A$61</f>
        <v>F-20 Складной подъемник</v>
      </c>
      <c r="V109" s="221">
        <v>13</v>
      </c>
      <c r="W109" s="219">
        <v>17</v>
      </c>
      <c r="X109" s="220" t="str">
        <f ca="1">Sprache!$A$141</f>
        <v>Alu</v>
      </c>
      <c r="Y109" s="220" t="str">
        <f ca="1">Sprache!$A$136</f>
        <v>nein</v>
      </c>
      <c r="Z109" s="220" t="str">
        <f ca="1">Sprache!$A$79</f>
        <v>Створка</v>
      </c>
      <c r="AA109" s="220">
        <v>850</v>
      </c>
      <c r="AB109" s="132">
        <v>900</v>
      </c>
      <c r="AC109" s="220"/>
      <c r="AD109" s="222">
        <v>6.5</v>
      </c>
      <c r="AE109" s="223">
        <v>16.5</v>
      </c>
      <c r="AF109" s="272" t="str">
        <f>MID(Tabelle2[[#This Row],[bnr full]],1,4)</f>
        <v>F152</v>
      </c>
      <c r="AG109" s="273" t="str">
        <f>MID(Tabelle2[[#This Row],[bnr full]],5,3)</f>
        <v>147</v>
      </c>
      <c r="AH109" s="274" t="str">
        <f>MID(Tabelle2[[#This Row],[bnr full]],8,3)</f>
        <v>847</v>
      </c>
      <c r="AI109" s="273" t="str">
        <f>MID(Tabelle2[[#This Row],[bnr full]],11,3)</f>
        <v>201</v>
      </c>
      <c r="AJ109" s="255" t="str">
        <f>MID(Tabelle2[[#This Row],[bnr full]],11,3)</f>
        <v>201</v>
      </c>
      <c r="AK109" s="224" t="s">
        <v>1640</v>
      </c>
      <c r="AL109" s="132" t="str">
        <f ca="1">Sprache!$A$111</f>
        <v>Комплект (Л + П)</v>
      </c>
      <c r="AM109" s="220" t="str">
        <f ca="1">Sprache!$A$119</f>
        <v>Направляющий рычаг, тип 7</v>
      </c>
      <c r="AN109" s="220" t="str">
        <f ca="1">Sprache!$A$123</f>
        <v>Силовой механизм D</v>
      </c>
      <c r="AO109" s="220" t="str">
        <f ca="1">Sprache!$A$144</f>
        <v>Адаптер под алюминиевые рамки к комплекту Kinvaro F-20</v>
      </c>
      <c r="AP109" s="220" t="s">
        <v>815</v>
      </c>
      <c r="AQ109" s="220">
        <v>400</v>
      </c>
      <c r="AR109" s="132">
        <v>1200</v>
      </c>
      <c r="AS109" s="220" t="str">
        <f ca="1">CONCATENATE("TIOMOS 110° ",Sprache!$A$150)</f>
        <v>TIOMOS 110° Шарнир для алюминиевой рамки</v>
      </c>
      <c r="AT109" s="220" t="str">
        <f ca="1">CONCATENATE("1D° ",Sprache!$A$149)</f>
        <v>1D° Монтажная плита</v>
      </c>
    </row>
    <row r="110" spans="1:55" s="117" customFormat="1" hidden="1" x14ac:dyDescent="0.25">
      <c r="A110" s="12" t="str">
        <f ca="1">IF(F110+G110+H110+I110+J110+D110+E110=3,IF(Tabelle2[[#This Row],[Kappe Weiß]]=Limits!$R$29,1,""),"")</f>
        <v/>
      </c>
      <c r="B110" s="12" t="str">
        <f ca="1">IF(G110+H110+I110+J110+E110+F110=2,IF(Tabelle2[[#This Row],[Kappe Weiß]]=Limits!$R$29,1,""),"")</f>
        <v/>
      </c>
      <c r="C110" s="291">
        <v>0</v>
      </c>
      <c r="D110" s="171">
        <f>IF(Limits!$P$12=TRUE,1,0)</f>
        <v>0</v>
      </c>
      <c r="E110" s="172">
        <f>IF(Daten!$P110+Daten!$Q110+Daten!$S110=3,1,0)</f>
        <v>0</v>
      </c>
      <c r="F110" s="173">
        <f ca="1">IF(AND(Limits!$Q$21=TRUE,Daten!O110=1)=TRUE,1,0)</f>
        <v>1</v>
      </c>
      <c r="G110" s="174">
        <f ca="1">IF(AND(Limits!$Q$25=TRUE,Daten!N110=1)=TRUE,1,0)</f>
        <v>0</v>
      </c>
      <c r="H110" s="174">
        <f ca="1">IF(AND(Limits!$Q$24=TRUE,Daten!M110=1)=TRUE,1,0)</f>
        <v>0</v>
      </c>
      <c r="I110" s="174">
        <f ca="1">IF(AND(Limits!$Q$23=TRUE,Daten!L110=1)=TRUE,1,0)</f>
        <v>0</v>
      </c>
      <c r="J110" s="174">
        <f ca="1">IF(AND(Limits!$Q$22=TRUE,Daten!K110=1)=TRUE,1,0)</f>
        <v>0</v>
      </c>
      <c r="K110" s="188">
        <f ca="1">IF(Daten!$V110=13,1,0)</f>
        <v>0</v>
      </c>
      <c r="L110" s="189">
        <f ca="1">IF(Daten!$V110&lt;&gt;Daten!$W110,1,IF(Daten!$V110=14,1,0))</f>
        <v>0</v>
      </c>
      <c r="M110" s="189">
        <f ca="1">IF(Daten!$V110&lt;&gt;Daten!$W110,1,IF(Daten!$V110=16,1,0))</f>
        <v>0</v>
      </c>
      <c r="N110" s="189">
        <f ca="1">IF(Daten!$W110=17,1,0)</f>
        <v>0</v>
      </c>
      <c r="O110" s="190">
        <f ca="1">IF(Daten!$X110=Sprache!$A$70,1,0)</f>
        <v>1</v>
      </c>
      <c r="P110" s="191">
        <f>IF(AND(Daten!$AQ110&lt;=KINVARO!$AW$3,Daten!$AR110&gt;=KINVARO!$AW$3)=TRUE,1,0)</f>
        <v>1</v>
      </c>
      <c r="Q110" s="192">
        <f>IF(AND(Daten!$AA110&lt;=KINVARO!$AW$4,Daten!$AB110&gt;=KINVARO!$AW$4)=TRUE,1,0)</f>
        <v>0</v>
      </c>
      <c r="R110" s="192"/>
      <c r="S110" s="192">
        <f>IF(AND(Daten!$AD110&lt;=Limits!$I$70,Daten!$AE110&gt;=Limits!$I$70)=TRUE,1,0)</f>
        <v>0</v>
      </c>
      <c r="T110" s="193">
        <f ca="1">IF(Daten!$Y110=Sprache!$A$135,1,0)</f>
        <v>0</v>
      </c>
      <c r="U110" s="124" t="str">
        <f ca="1">Sprache!$A$62</f>
        <v>T-105 Коленчатый подъемник</v>
      </c>
      <c r="V110" s="202" t="str">
        <f ca="1">Sprache!$A$74</f>
        <v>var</v>
      </c>
      <c r="W110" s="202" t="str">
        <f ca="1">Sprache!$A$74</f>
        <v>var</v>
      </c>
      <c r="X110" s="203" t="str">
        <f ca="1">Sprache!$A$70</f>
        <v>соединение с древесиной</v>
      </c>
      <c r="Y110" s="187" t="str">
        <f ca="1">Sprache!$A$136</f>
        <v>nein</v>
      </c>
      <c r="Z110" s="187" t="str">
        <f ca="1">Sprache!$A$79</f>
        <v>Створка</v>
      </c>
      <c r="AA110" s="187">
        <v>250</v>
      </c>
      <c r="AB110" s="124">
        <v>299</v>
      </c>
      <c r="AC110" s="187"/>
      <c r="AD110" s="195">
        <v>1.4</v>
      </c>
      <c r="AE110" s="196">
        <v>4.4000000000000004</v>
      </c>
      <c r="AF110" s="263" t="str">
        <f>MID(Tabelle2[[#This Row],[bnr full]],1,4)</f>
        <v>F151</v>
      </c>
      <c r="AG110" s="264" t="str">
        <f>MID(Tabelle2[[#This Row],[bnr full]],5,3)</f>
        <v>145</v>
      </c>
      <c r="AH110" s="265" t="str">
        <f>MID(Tabelle2[[#This Row],[bnr full]],8,3)</f>
        <v>220</v>
      </c>
      <c r="AI110" s="264" t="str">
        <f>MID(Tabelle2[[#This Row],[bnr full]],11,3)</f>
        <v>201</v>
      </c>
      <c r="AJ110" s="252" t="str">
        <f>MID(Tabelle2[[#This Row],[bnr full]],11,3)</f>
        <v>201</v>
      </c>
      <c r="AK110" s="197" t="s">
        <v>785</v>
      </c>
      <c r="AL110" s="124" t="str">
        <f ca="1">Sprache!$A$112</f>
        <v>Правый</v>
      </c>
      <c r="AM110" s="187" t="str">
        <f ca="1">Sprache!$A$133</f>
        <v>1 коленчатый подъемник</v>
      </c>
      <c r="AN110" s="187" t="str">
        <f ca="1">Sprache!$A$125</f>
        <v>Пружина, стандарт</v>
      </c>
      <c r="AO110" s="187" t="str">
        <f ca="1">Sprache!$A$148</f>
        <v>Коленчатый подъемник Kinvaro T-105, правый</v>
      </c>
      <c r="AP110" s="187" t="s">
        <v>816</v>
      </c>
      <c r="AQ110" s="187">
        <f>Limits!$K$9</f>
        <v>200</v>
      </c>
      <c r="AR110" s="124">
        <v>1200</v>
      </c>
      <c r="AS110" s="187" t="str">
        <f ca="1">CONCATENATE("TIOMOS 110° ",Sprache!$A$98)</f>
        <v>TIOMOS 110° Шарнир</v>
      </c>
      <c r="AT110" s="187" t="str">
        <f ca="1">CONCATENATE("1D° ",Sprache!$A$149)</f>
        <v>1D° Монтажная плита</v>
      </c>
    </row>
    <row r="111" spans="1:55" s="117" customFormat="1" hidden="1" x14ac:dyDescent="0.25">
      <c r="A111" s="12" t="str">
        <f ca="1">IF(F111+G111+H111+I111+J111+D111+E111=3,IF(Tabelle2[[#This Row],[Kappe Weiß]]=Limits!$R$29,1,""),"")</f>
        <v/>
      </c>
      <c r="B111" s="12" t="str">
        <f ca="1">IF(G111+H111+I111+J111+E111+F111=2,IF(Tabelle2[[#This Row],[Kappe Weiß]]=Limits!$R$29,1,""),"")</f>
        <v/>
      </c>
      <c r="C111" s="291">
        <v>0</v>
      </c>
      <c r="D111" s="171">
        <f>IF(Limits!$P$12=TRUE,1,0)</f>
        <v>0</v>
      </c>
      <c r="E111" s="172">
        <f>IF(Daten!$P111+Daten!$Q111+Daten!$S111=3,1,0)</f>
        <v>0</v>
      </c>
      <c r="F111" s="173">
        <f ca="1">IF(AND(Limits!$Q$21=TRUE,Daten!O111=1)=TRUE,1,0)</f>
        <v>1</v>
      </c>
      <c r="G111" s="174">
        <f ca="1">IF(AND(Limits!$Q$25=TRUE,Daten!N111=1)=TRUE,1,0)</f>
        <v>0</v>
      </c>
      <c r="H111" s="174">
        <f ca="1">IF(AND(Limits!$Q$24=TRUE,Daten!M111=1)=TRUE,1,0)</f>
        <v>0</v>
      </c>
      <c r="I111" s="174">
        <f ca="1">IF(AND(Limits!$Q$23=TRUE,Daten!L111=1)=TRUE,1,0)</f>
        <v>0</v>
      </c>
      <c r="J111" s="174">
        <f ca="1">IF(AND(Limits!$Q$22=TRUE,Daten!K111=1)=TRUE,1,0)</f>
        <v>0</v>
      </c>
      <c r="K111" s="188">
        <f ca="1">IF(Daten!$V111=13,1,0)</f>
        <v>0</v>
      </c>
      <c r="L111" s="189">
        <f ca="1">IF(Daten!$V111&lt;&gt;Daten!$W111,1,IF(Daten!$V111=14,1,0))</f>
        <v>0</v>
      </c>
      <c r="M111" s="189">
        <f ca="1">IF(Daten!$V111&lt;&gt;Daten!$W111,1,IF(Daten!$V111=16,1,0))</f>
        <v>0</v>
      </c>
      <c r="N111" s="189">
        <f ca="1">IF(Daten!$W111=17,1,0)</f>
        <v>0</v>
      </c>
      <c r="O111" s="190">
        <f ca="1">IF(Daten!$X111=Sprache!$A$70,1,0)</f>
        <v>1</v>
      </c>
      <c r="P111" s="191">
        <f>IF(AND(Daten!$AQ111&lt;=KINVARO!$AW$3,Daten!$AR111&gt;=KINVARO!$AW$3)=TRUE,1,0)</f>
        <v>1</v>
      </c>
      <c r="Q111" s="192">
        <f>IF(AND(Daten!$AA111&lt;=KINVARO!$AW$4,Daten!$AB111&gt;=KINVARO!$AW$4)=TRUE,1,0)</f>
        <v>0</v>
      </c>
      <c r="R111" s="192"/>
      <c r="S111" s="192">
        <f>IF(AND(Daten!$AD111&lt;=Limits!$I$70,Daten!$AE111&gt;=Limits!$I$70)=TRUE,1,0)</f>
        <v>0</v>
      </c>
      <c r="T111" s="193">
        <f ca="1">IF(Daten!$Y111=Sprache!$A$135,1,0)</f>
        <v>0</v>
      </c>
      <c r="U111" s="124" t="str">
        <f ca="1">Sprache!$A$62</f>
        <v>T-105 Коленчатый подъемник</v>
      </c>
      <c r="V111" s="202" t="str">
        <f ca="1">Sprache!$A$74</f>
        <v>var</v>
      </c>
      <c r="W111" s="202" t="str">
        <f ca="1">Sprache!$A$74</f>
        <v>var</v>
      </c>
      <c r="X111" s="203" t="str">
        <f ca="1">Sprache!$A$70</f>
        <v>соединение с древесиной</v>
      </c>
      <c r="Y111" s="187" t="str">
        <f ca="1">Sprache!$A$136</f>
        <v>nein</v>
      </c>
      <c r="Z111" s="187" t="str">
        <f ca="1">Sprache!$A$79</f>
        <v>Створка</v>
      </c>
      <c r="AA111" s="187">
        <v>250</v>
      </c>
      <c r="AB111" s="124">
        <v>299</v>
      </c>
      <c r="AC111" s="187"/>
      <c r="AD111" s="195">
        <v>3</v>
      </c>
      <c r="AE111" s="196">
        <v>5.5</v>
      </c>
      <c r="AF111" s="263" t="str">
        <f>MID(Tabelle2[[#This Row],[bnr full]],1,4)</f>
        <v>F151</v>
      </c>
      <c r="AG111" s="264" t="str">
        <f>MID(Tabelle2[[#This Row],[bnr full]],5,3)</f>
        <v>145</v>
      </c>
      <c r="AH111" s="265" t="str">
        <f>MID(Tabelle2[[#This Row],[bnr full]],8,3)</f>
        <v>218</v>
      </c>
      <c r="AI111" s="264" t="str">
        <f>MID(Tabelle2[[#This Row],[bnr full]],11,3)</f>
        <v>201</v>
      </c>
      <c r="AJ111" s="252" t="str">
        <f>MID(Tabelle2[[#This Row],[bnr full]],11,3)</f>
        <v>201</v>
      </c>
      <c r="AK111" s="197" t="s">
        <v>786</v>
      </c>
      <c r="AL111" s="124" t="str">
        <f ca="1">Sprache!$A$112</f>
        <v>Правый</v>
      </c>
      <c r="AM111" s="187" t="str">
        <f ca="1">Sprache!$A$133</f>
        <v>1 коленчатый подъемник</v>
      </c>
      <c r="AN111" s="187" t="str">
        <f ca="1">Sprache!$A$126</f>
        <v>Пружина, черная</v>
      </c>
      <c r="AO111" s="187" t="str">
        <f ca="1">Sprache!$A$148</f>
        <v>Коленчатый подъемник Kinvaro T-105, правый</v>
      </c>
      <c r="AP111" s="187" t="s">
        <v>817</v>
      </c>
      <c r="AQ111" s="187">
        <f>Limits!$K$9</f>
        <v>200</v>
      </c>
      <c r="AR111" s="124">
        <v>1200</v>
      </c>
      <c r="AS111" s="187" t="str">
        <f ca="1">CONCATENATE("TIOMOS 110° ",Sprache!$A$98)</f>
        <v>TIOMOS 110° Шарнир</v>
      </c>
      <c r="AT111" s="187" t="str">
        <f ca="1">CONCATENATE("1D° ",Sprache!$A$149)</f>
        <v>1D° Монтажная плита</v>
      </c>
    </row>
    <row r="112" spans="1:55" s="117" customFormat="1" hidden="1" x14ac:dyDescent="0.25">
      <c r="A112" s="12" t="str">
        <f ca="1">IF(F112+G112+H112+I112+J112+D112+E112=3,IF(Tabelle2[[#This Row],[Kappe Weiß]]=Limits!$R$29,1,""),"")</f>
        <v/>
      </c>
      <c r="B112" s="12" t="str">
        <f ca="1">IF(G112+H112+I112+J112+E112+F112=2,IF(Tabelle2[[#This Row],[Kappe Weiß]]=Limits!$R$29,1,""),"")</f>
        <v/>
      </c>
      <c r="C112" s="291">
        <v>0</v>
      </c>
      <c r="D112" s="171">
        <f>IF(Limits!$P$12=TRUE,1,0)</f>
        <v>0</v>
      </c>
      <c r="E112" s="172">
        <f>IF(Daten!$P112+Daten!$Q112+Daten!$S112=3,1,0)</f>
        <v>0</v>
      </c>
      <c r="F112" s="173">
        <f ca="1">IF(AND(Limits!$Q$21=TRUE,Daten!O112=1)=TRUE,1,0)</f>
        <v>0</v>
      </c>
      <c r="G112" s="174">
        <f>IF(AND(Limits!$Q$25=TRUE,Daten!N112=1)=TRUE,1,0)</f>
        <v>0</v>
      </c>
      <c r="H112" s="174">
        <f>IF(AND(Limits!$Q$24=TRUE,Daten!M112=1)=TRUE,1,0)</f>
        <v>0</v>
      </c>
      <c r="I112" s="174">
        <f>IF(AND(Limits!$Q$23=TRUE,Daten!L112=1)=TRUE,1,0)</f>
        <v>0</v>
      </c>
      <c r="J112" s="174">
        <f>IF(AND(Limits!$Q$22=TRUE,Daten!K112=1)=TRUE,1,0)</f>
        <v>0</v>
      </c>
      <c r="K112" s="188">
        <f>IF(Daten!$V112=13,1,0)</f>
        <v>0</v>
      </c>
      <c r="L112" s="189">
        <f>IF(Daten!$V112&lt;&gt;Daten!$W112,1,IF(Daten!$V112=14,1,0))</f>
        <v>1</v>
      </c>
      <c r="M112" s="189">
        <f>IF(Daten!$V112&lt;&gt;Daten!$W112,1,IF(Daten!$V112=16,1,0))</f>
        <v>0</v>
      </c>
      <c r="N112" s="189">
        <f>IF(Daten!$W112=17,1,0)</f>
        <v>0</v>
      </c>
      <c r="O112" s="190">
        <f ca="1">IF(Daten!$X112=Sprache!$A$70,1,0)</f>
        <v>0</v>
      </c>
      <c r="P112" s="191">
        <f>IF(AND(Daten!$AQ112&lt;=KINVARO!$AW$3,Daten!$AR112&gt;=KINVARO!$AW$3)=TRUE,1,0)</f>
        <v>1</v>
      </c>
      <c r="Q112" s="192">
        <f>IF(AND(Daten!$AA112&lt;=KINVARO!$AW$4,Daten!$AB112&gt;=KINVARO!$AW$4)=TRUE,1,0)</f>
        <v>0</v>
      </c>
      <c r="R112" s="192"/>
      <c r="S112" s="192">
        <f>IF(AND(Daten!$AD112&lt;=Limits!$I$70,Daten!$AE112&gt;=Limits!$I$70)=TRUE,1,0)</f>
        <v>0</v>
      </c>
      <c r="T112" s="193">
        <f ca="1">IF(Daten!$Y112=Sprache!$A$135,1,0)</f>
        <v>0</v>
      </c>
      <c r="U112" s="124" t="str">
        <f ca="1">Sprache!$A$62</f>
        <v>T-105 Коленчатый подъемник</v>
      </c>
      <c r="V112" s="194">
        <v>14</v>
      </c>
      <c r="W112" s="193">
        <v>14</v>
      </c>
      <c r="X112" s="187" t="str">
        <f ca="1">Sprache!$A$141</f>
        <v>Alu</v>
      </c>
      <c r="Y112" s="187" t="str">
        <f ca="1">Sprache!$A$136</f>
        <v>nein</v>
      </c>
      <c r="Z112" s="187" t="str">
        <f ca="1">Sprache!$A$79</f>
        <v>Створка</v>
      </c>
      <c r="AA112" s="187">
        <v>250</v>
      </c>
      <c r="AB112" s="124">
        <v>299</v>
      </c>
      <c r="AC112" s="187"/>
      <c r="AD112" s="195">
        <v>1.4</v>
      </c>
      <c r="AE112" s="196">
        <v>4.4000000000000004</v>
      </c>
      <c r="AF112" s="263" t="str">
        <f>MID(Tabelle2[[#This Row],[bnr full]],1,4)</f>
        <v>F151</v>
      </c>
      <c r="AG112" s="264" t="str">
        <f>MID(Tabelle2[[#This Row],[bnr full]],5,3)</f>
        <v>145</v>
      </c>
      <c r="AH112" s="265" t="str">
        <f>MID(Tabelle2[[#This Row],[bnr full]],8,3)</f>
        <v>214</v>
      </c>
      <c r="AI112" s="264" t="str">
        <f>MID(Tabelle2[[#This Row],[bnr full]],11,3)</f>
        <v>201</v>
      </c>
      <c r="AJ112" s="252" t="str">
        <f>MID(Tabelle2[[#This Row],[bnr full]],11,3)</f>
        <v>201</v>
      </c>
      <c r="AK112" s="197" t="s">
        <v>787</v>
      </c>
      <c r="AL112" s="124" t="str">
        <f ca="1">Sprache!$A$112</f>
        <v>Правый</v>
      </c>
      <c r="AM112" s="187" t="str">
        <f ca="1">Sprache!$A$133</f>
        <v>1 коленчатый подъемник</v>
      </c>
      <c r="AN112" s="187" t="str">
        <f ca="1">Sprache!$A$125</f>
        <v>Пружина, стандарт</v>
      </c>
      <c r="AO112" s="187" t="str">
        <f ca="1">Sprache!$A$148</f>
        <v>Коленчатый подъемник Kinvaro T-105, правый</v>
      </c>
      <c r="AP112" s="187" t="s">
        <v>818</v>
      </c>
      <c r="AQ112" s="187">
        <f>Limits!$K$9</f>
        <v>200</v>
      </c>
      <c r="AR112" s="124">
        <v>1200</v>
      </c>
      <c r="AS112" s="187" t="str">
        <f ca="1">CONCATENATE("TIOMOS 110° ",Sprache!$A$150)</f>
        <v>TIOMOS 110° Шарнир для алюминиевой рамки</v>
      </c>
      <c r="AT112" s="187" t="str">
        <f ca="1">CONCATENATE("1D° ",Sprache!$A$149)</f>
        <v>1D° Монтажная плита</v>
      </c>
    </row>
    <row r="113" spans="1:55" s="117" customFormat="1" hidden="1" x14ac:dyDescent="0.25">
      <c r="A113" s="12" t="str">
        <f ca="1">IF(F113+G113+H113+I113+J113+D113+E113=3,IF(Tabelle2[[#This Row],[Kappe Weiß]]=Limits!$R$29,1,""),"")</f>
        <v/>
      </c>
      <c r="B113" s="12" t="str">
        <f ca="1">IF(G113+H113+I113+J113+E113+F113=2,IF(Tabelle2[[#This Row],[Kappe Weiß]]=Limits!$R$29,1,""),"")</f>
        <v/>
      </c>
      <c r="C113" s="291">
        <v>0</v>
      </c>
      <c r="D113" s="171">
        <f>IF(Limits!$P$12=TRUE,1,0)</f>
        <v>0</v>
      </c>
      <c r="E113" s="172">
        <f>IF(Daten!$P113+Daten!$Q113+Daten!$S113=3,1,0)</f>
        <v>0</v>
      </c>
      <c r="F113" s="173">
        <f ca="1">IF(AND(Limits!$Q$21=TRUE,Daten!O113=1)=TRUE,1,0)</f>
        <v>0</v>
      </c>
      <c r="G113" s="174">
        <f>IF(AND(Limits!$Q$25=TRUE,Daten!N113=1)=TRUE,1,0)</f>
        <v>0</v>
      </c>
      <c r="H113" s="174">
        <f>IF(AND(Limits!$Q$24=TRUE,Daten!M113=1)=TRUE,1,0)</f>
        <v>0</v>
      </c>
      <c r="I113" s="174">
        <f>IF(AND(Limits!$Q$23=TRUE,Daten!L113=1)=TRUE,1,0)</f>
        <v>0</v>
      </c>
      <c r="J113" s="174">
        <f>IF(AND(Limits!$Q$22=TRUE,Daten!K113=1)=TRUE,1,0)</f>
        <v>0</v>
      </c>
      <c r="K113" s="188">
        <f>IF(Daten!$V113=13,1,0)</f>
        <v>0</v>
      </c>
      <c r="L113" s="189">
        <f>IF(Daten!$V113&lt;&gt;Daten!$W113,1,IF(Daten!$V113=14,1,0))</f>
        <v>0</v>
      </c>
      <c r="M113" s="189">
        <f>IF(Daten!$V113&lt;&gt;Daten!$W113,1,IF(Daten!$V113=16,1,0))</f>
        <v>1</v>
      </c>
      <c r="N113" s="189">
        <f>IF(Daten!$W113=17,1,0)</f>
        <v>0</v>
      </c>
      <c r="O113" s="190">
        <f ca="1">IF(Daten!$X113=Sprache!$A$70,1,0)</f>
        <v>0</v>
      </c>
      <c r="P113" s="191">
        <f>IF(AND(Daten!$AQ113&lt;=KINVARO!$AW$3,Daten!$AR113&gt;=KINVARO!$AW$3)=TRUE,1,0)</f>
        <v>1</v>
      </c>
      <c r="Q113" s="192">
        <f>IF(AND(Daten!$AA113&lt;=KINVARO!$AW$4,Daten!$AB113&gt;=KINVARO!$AW$4)=TRUE,1,0)</f>
        <v>0</v>
      </c>
      <c r="R113" s="192"/>
      <c r="S113" s="192">
        <f>IF(AND(Daten!$AD113&lt;=Limits!$I$70,Daten!$AE113&gt;=Limits!$I$70)=TRUE,1,0)</f>
        <v>0</v>
      </c>
      <c r="T113" s="193">
        <f ca="1">IF(Daten!$Y113=Sprache!$A$135,1,0)</f>
        <v>0</v>
      </c>
      <c r="U113" s="124" t="str">
        <f ca="1">Sprache!$A$62</f>
        <v>T-105 Коленчатый подъемник</v>
      </c>
      <c r="V113" s="194">
        <v>16</v>
      </c>
      <c r="W113" s="193">
        <v>16</v>
      </c>
      <c r="X113" s="187" t="str">
        <f ca="1">Sprache!$A$141</f>
        <v>Alu</v>
      </c>
      <c r="Y113" s="187" t="str">
        <f ca="1">Sprache!$A$136</f>
        <v>nein</v>
      </c>
      <c r="Z113" s="187" t="str">
        <f ca="1">Sprache!$A$79</f>
        <v>Створка</v>
      </c>
      <c r="AA113" s="187">
        <v>250</v>
      </c>
      <c r="AB113" s="124">
        <v>299</v>
      </c>
      <c r="AC113" s="187"/>
      <c r="AD113" s="195">
        <v>1.4</v>
      </c>
      <c r="AE113" s="196">
        <v>4.4000000000000004</v>
      </c>
      <c r="AF113" s="263" t="str">
        <f>MID(Tabelle2[[#This Row],[bnr full]],1,4)</f>
        <v>F151</v>
      </c>
      <c r="AG113" s="264" t="str">
        <f>MID(Tabelle2[[#This Row],[bnr full]],5,3)</f>
        <v>145</v>
      </c>
      <c r="AH113" s="265" t="str">
        <f>MID(Tabelle2[[#This Row],[bnr full]],8,3)</f>
        <v>216</v>
      </c>
      <c r="AI113" s="264" t="str">
        <f>MID(Tabelle2[[#This Row],[bnr full]],11,3)</f>
        <v>201</v>
      </c>
      <c r="AJ113" s="252" t="str">
        <f>MID(Tabelle2[[#This Row],[bnr full]],11,3)</f>
        <v>201</v>
      </c>
      <c r="AK113" s="197" t="s">
        <v>788</v>
      </c>
      <c r="AL113" s="124" t="str">
        <f ca="1">Sprache!$A$112</f>
        <v>Правый</v>
      </c>
      <c r="AM113" s="187" t="str">
        <f ca="1">Sprache!$A$133</f>
        <v>1 коленчатый подъемник</v>
      </c>
      <c r="AN113" s="187" t="str">
        <f ca="1">Sprache!$A$125</f>
        <v>Пружина, стандарт</v>
      </c>
      <c r="AO113" s="187" t="str">
        <f ca="1">Sprache!$A$148</f>
        <v>Коленчатый подъемник Kinvaro T-105, правый</v>
      </c>
      <c r="AP113" s="187" t="s">
        <v>819</v>
      </c>
      <c r="AQ113" s="187">
        <f>Limits!$K$9</f>
        <v>200</v>
      </c>
      <c r="AR113" s="124">
        <v>1200</v>
      </c>
      <c r="AS113" s="187" t="str">
        <f ca="1">CONCATENATE("TIOMOS 110° ",Sprache!$A$150)</f>
        <v>TIOMOS 110° Шарнир для алюминиевой рамки</v>
      </c>
      <c r="AT113" s="187" t="str">
        <f ca="1">CONCATENATE("1D° ",Sprache!$A$149)</f>
        <v>1D° Монтажная плита</v>
      </c>
    </row>
    <row r="114" spans="1:55" s="117" customFormat="1" hidden="1" x14ac:dyDescent="0.25">
      <c r="A114" s="12" t="str">
        <f ca="1">IF(F114+G114+H114+I114+J114+D114+E114=3,IF(Tabelle2[[#This Row],[Kappe Weiß]]=Limits!$R$29,1,""),"")</f>
        <v/>
      </c>
      <c r="B114" s="12" t="str">
        <f ca="1">IF(G114+H114+I114+J114+E114+F114=2,IF(Tabelle2[[#This Row],[Kappe Weiß]]=Limits!$R$29,1,""),"")</f>
        <v/>
      </c>
      <c r="C114" s="291">
        <v>0</v>
      </c>
      <c r="D114" s="171">
        <f>IF(Limits!$P$12=TRUE,1,0)</f>
        <v>0</v>
      </c>
      <c r="E114" s="172">
        <f>IF(Daten!$P114+Daten!$Q114+Daten!$S114=3,1,0)</f>
        <v>0</v>
      </c>
      <c r="F114" s="173">
        <f ca="1">IF(AND(Limits!$Q$21=TRUE,Daten!O114=1)=TRUE,1,0)</f>
        <v>1</v>
      </c>
      <c r="G114" s="174">
        <f ca="1">IF(AND(Limits!$Q$25=TRUE,Daten!N114=1)=TRUE,1,0)</f>
        <v>0</v>
      </c>
      <c r="H114" s="174">
        <f ca="1">IF(AND(Limits!$Q$24=TRUE,Daten!M114=1)=TRUE,1,0)</f>
        <v>0</v>
      </c>
      <c r="I114" s="174">
        <f ca="1">IF(AND(Limits!$Q$23=TRUE,Daten!L114=1)=TRUE,1,0)</f>
        <v>0</v>
      </c>
      <c r="J114" s="174">
        <f ca="1">IF(AND(Limits!$Q$22=TRUE,Daten!K114=1)=TRUE,1,0)</f>
        <v>0</v>
      </c>
      <c r="K114" s="188">
        <f ca="1">IF(Daten!$V114=13,1,0)</f>
        <v>0</v>
      </c>
      <c r="L114" s="189">
        <f ca="1">IF(Daten!$V114&lt;&gt;Daten!$W114,1,IF(Daten!$V114=14,1,0))</f>
        <v>0</v>
      </c>
      <c r="M114" s="189">
        <f ca="1">IF(Daten!$V114&lt;&gt;Daten!$W114,1,IF(Daten!$V114=16,1,0))</f>
        <v>0</v>
      </c>
      <c r="N114" s="189">
        <f ca="1">IF(Daten!$W114=17,1,0)</f>
        <v>0</v>
      </c>
      <c r="O114" s="190">
        <f ca="1">IF(Daten!$X114=Sprache!$A$70,1,0)</f>
        <v>1</v>
      </c>
      <c r="P114" s="191">
        <f>IF(AND(Daten!$AQ114&lt;=KINVARO!$AW$3,Daten!$AR114&gt;=KINVARO!$AW$3)=TRUE,1,0)</f>
        <v>1</v>
      </c>
      <c r="Q114" s="192">
        <f>IF(AND(Daten!$AA114&lt;=KINVARO!$AW$4,Daten!$AB114&gt;=KINVARO!$AW$4)=TRUE,1,0)</f>
        <v>0</v>
      </c>
      <c r="R114" s="192"/>
      <c r="S114" s="192">
        <f>IF(AND(Daten!$AD114&lt;=Limits!$I$70,Daten!$AE114&gt;=Limits!$I$70)=TRUE,1,0)</f>
        <v>0</v>
      </c>
      <c r="T114" s="193">
        <f ca="1">IF(Daten!$Y114=Sprache!$A$135,1,0)</f>
        <v>0</v>
      </c>
      <c r="U114" s="124" t="str">
        <f ca="1">Sprache!$A$62</f>
        <v>T-105 Коленчатый подъемник</v>
      </c>
      <c r="V114" s="202" t="str">
        <f ca="1">Sprache!$A$74</f>
        <v>var</v>
      </c>
      <c r="W114" s="202" t="str">
        <f ca="1">Sprache!$A$74</f>
        <v>var</v>
      </c>
      <c r="X114" s="203" t="str">
        <f ca="1">Sprache!$A$70</f>
        <v>соединение с древесиной</v>
      </c>
      <c r="Y114" s="187" t="str">
        <f ca="1">Sprache!$A$136</f>
        <v>nein</v>
      </c>
      <c r="Z114" s="187" t="str">
        <f ca="1">Sprache!$A$79</f>
        <v>Створка</v>
      </c>
      <c r="AA114" s="187">
        <v>250</v>
      </c>
      <c r="AB114" s="124">
        <v>299</v>
      </c>
      <c r="AC114" s="187"/>
      <c r="AD114" s="195">
        <v>3.4</v>
      </c>
      <c r="AE114" s="196">
        <v>8.9</v>
      </c>
      <c r="AF114" s="263" t="str">
        <f>MID(Tabelle2[[#This Row],[bnr full]],1,4)</f>
        <v>F151</v>
      </c>
      <c r="AG114" s="264" t="str">
        <f>MID(Tabelle2[[#This Row],[bnr full]],5,3)</f>
        <v>145</v>
      </c>
      <c r="AH114" s="265" t="str">
        <f>MID(Tabelle2[[#This Row],[bnr full]],8,3)</f>
        <v>220</v>
      </c>
      <c r="AI114" s="264" t="str">
        <f>MID(Tabelle2[[#This Row],[bnr full]],11,3)</f>
        <v>201</v>
      </c>
      <c r="AJ114" s="252" t="str">
        <f>MID(Tabelle2[[#This Row],[bnr full]],11,3)</f>
        <v>201</v>
      </c>
      <c r="AK114" s="197" t="s">
        <v>785</v>
      </c>
      <c r="AL114" s="124" t="str">
        <f ca="1">Sprache!$A$112</f>
        <v>Правый</v>
      </c>
      <c r="AM114" s="187" t="str">
        <f ca="1">Sprache!$A$134</f>
        <v>2 коленчатых подъемника</v>
      </c>
      <c r="AN114" s="187" t="str">
        <f ca="1">Sprache!$A$125</f>
        <v>Пружина, стандарт</v>
      </c>
      <c r="AO114" s="187" t="str">
        <f ca="1">Sprache!$A$148</f>
        <v>Коленчатый подъемник Kinvaro T-105, правый</v>
      </c>
      <c r="AP114" s="187" t="s">
        <v>816</v>
      </c>
      <c r="AQ114" s="187">
        <f>Limits!$K$9</f>
        <v>200</v>
      </c>
      <c r="AR114" s="124">
        <v>1200</v>
      </c>
      <c r="AS114" s="187" t="str">
        <f ca="1">CONCATENATE("TIOMOS 110° ",Sprache!$A$98)</f>
        <v>TIOMOS 110° Шарнир</v>
      </c>
      <c r="AT114" s="187" t="str">
        <f ca="1">CONCATENATE("1D° ",Sprache!$A$149)</f>
        <v>1D° Монтажная плита</v>
      </c>
    </row>
    <row r="115" spans="1:55" s="117" customFormat="1" hidden="1" x14ac:dyDescent="0.25">
      <c r="A115" s="12" t="str">
        <f ca="1">IF(F115+G115+H115+I115+J115+D115+E115=3,IF(Tabelle2[[#This Row],[Kappe Weiß]]=Limits!$R$29,1,""),"")</f>
        <v/>
      </c>
      <c r="B115" s="12" t="str">
        <f ca="1">IF(G115+H115+I115+J115+E115+F115=2,IF(Tabelle2[[#This Row],[Kappe Weiß]]=Limits!$R$29,1,""),"")</f>
        <v/>
      </c>
      <c r="C115" s="291">
        <v>0</v>
      </c>
      <c r="D115" s="171">
        <f>IF(Limits!$P$12=TRUE,1,0)</f>
        <v>0</v>
      </c>
      <c r="E115" s="172">
        <f>IF(Daten!$P115+Daten!$Q115+Daten!$S115=3,1,0)</f>
        <v>0</v>
      </c>
      <c r="F115" s="173">
        <f ca="1">IF(AND(Limits!$Q$21=TRUE,Daten!O115=1)=TRUE,1,0)</f>
        <v>1</v>
      </c>
      <c r="G115" s="174">
        <f ca="1">IF(AND(Limits!$Q$25=TRUE,Daten!N115=1)=TRUE,1,0)</f>
        <v>0</v>
      </c>
      <c r="H115" s="174">
        <f ca="1">IF(AND(Limits!$Q$24=TRUE,Daten!M115=1)=TRUE,1,0)</f>
        <v>0</v>
      </c>
      <c r="I115" s="174">
        <f ca="1">IF(AND(Limits!$Q$23=TRUE,Daten!L115=1)=TRUE,1,0)</f>
        <v>0</v>
      </c>
      <c r="J115" s="174">
        <f ca="1">IF(AND(Limits!$Q$22=TRUE,Daten!K115=1)=TRUE,1,0)</f>
        <v>0</v>
      </c>
      <c r="K115" s="188">
        <f ca="1">IF(Daten!$V115=13,1,0)</f>
        <v>0</v>
      </c>
      <c r="L115" s="189">
        <f ca="1">IF(Daten!$V115&lt;&gt;Daten!$W115,1,IF(Daten!$V115=14,1,0))</f>
        <v>0</v>
      </c>
      <c r="M115" s="189">
        <f ca="1">IF(Daten!$V115&lt;&gt;Daten!$W115,1,IF(Daten!$V115=16,1,0))</f>
        <v>0</v>
      </c>
      <c r="N115" s="189">
        <f ca="1">IF(Daten!$W115=17,1,0)</f>
        <v>0</v>
      </c>
      <c r="O115" s="190">
        <f ca="1">IF(Daten!$X115=Sprache!$A$70,1,0)</f>
        <v>1</v>
      </c>
      <c r="P115" s="191">
        <f>IF(AND(Daten!$AQ115&lt;=KINVARO!$AW$3,Daten!$AR115&gt;=KINVARO!$AW$3)=TRUE,1,0)</f>
        <v>1</v>
      </c>
      <c r="Q115" s="192">
        <f>IF(AND(Daten!$AA115&lt;=KINVARO!$AW$4,Daten!$AB115&gt;=KINVARO!$AW$4)=TRUE,1,0)</f>
        <v>0</v>
      </c>
      <c r="R115" s="192"/>
      <c r="S115" s="192">
        <f>IF(AND(Daten!$AD115&lt;=Limits!$I$70,Daten!$AE115&gt;=Limits!$I$70)=TRUE,1,0)</f>
        <v>1</v>
      </c>
      <c r="T115" s="193">
        <f ca="1">IF(Daten!$Y115=Sprache!$A$135,1,0)</f>
        <v>0</v>
      </c>
      <c r="U115" s="124" t="str">
        <f ca="1">Sprache!$A$62</f>
        <v>T-105 Коленчатый подъемник</v>
      </c>
      <c r="V115" s="202" t="str">
        <f ca="1">Sprache!$A$74</f>
        <v>var</v>
      </c>
      <c r="W115" s="202" t="str">
        <f ca="1">Sprache!$A$74</f>
        <v>var</v>
      </c>
      <c r="X115" s="203" t="str">
        <f ca="1">Sprache!$A$70</f>
        <v>соединение с древесиной</v>
      </c>
      <c r="Y115" s="187" t="str">
        <f ca="1">Sprache!$A$136</f>
        <v>nein</v>
      </c>
      <c r="Z115" s="187" t="str">
        <f ca="1">Sprache!$A$79</f>
        <v>Створка</v>
      </c>
      <c r="AA115" s="187">
        <v>250</v>
      </c>
      <c r="AB115" s="124">
        <v>299</v>
      </c>
      <c r="AC115" s="187"/>
      <c r="AD115" s="195">
        <v>6</v>
      </c>
      <c r="AE115" s="196">
        <v>11.1</v>
      </c>
      <c r="AF115" s="263" t="str">
        <f>MID(Tabelle2[[#This Row],[bnr full]],1,4)</f>
        <v>F151</v>
      </c>
      <c r="AG115" s="264" t="str">
        <f>MID(Tabelle2[[#This Row],[bnr full]],5,3)</f>
        <v>145</v>
      </c>
      <c r="AH115" s="265" t="str">
        <f>MID(Tabelle2[[#This Row],[bnr full]],8,3)</f>
        <v>218</v>
      </c>
      <c r="AI115" s="264" t="str">
        <f>MID(Tabelle2[[#This Row],[bnr full]],11,3)</f>
        <v>201</v>
      </c>
      <c r="AJ115" s="252" t="str">
        <f>MID(Tabelle2[[#This Row],[bnr full]],11,3)</f>
        <v>201</v>
      </c>
      <c r="AK115" s="197" t="s">
        <v>786</v>
      </c>
      <c r="AL115" s="124" t="str">
        <f ca="1">Sprache!$A$112</f>
        <v>Правый</v>
      </c>
      <c r="AM115" s="187" t="str">
        <f ca="1">Sprache!$A$134</f>
        <v>2 коленчатых подъемника</v>
      </c>
      <c r="AN115" s="187" t="str">
        <f ca="1">Sprache!$A$126</f>
        <v>Пружина, черная</v>
      </c>
      <c r="AO115" s="187" t="str">
        <f ca="1">Sprache!$A$148</f>
        <v>Коленчатый подъемник Kinvaro T-105, правый</v>
      </c>
      <c r="AP115" s="187" t="s">
        <v>817</v>
      </c>
      <c r="AQ115" s="187">
        <f>Limits!$K$9</f>
        <v>200</v>
      </c>
      <c r="AR115" s="124">
        <v>1200</v>
      </c>
      <c r="AS115" s="187" t="str">
        <f ca="1">CONCATENATE("TIOMOS 110° ",Sprache!$A$98)</f>
        <v>TIOMOS 110° Шарнир</v>
      </c>
      <c r="AT115" s="187" t="str">
        <f ca="1">CONCATENATE("1D° ",Sprache!$A$149)</f>
        <v>1D° Монтажная плита</v>
      </c>
    </row>
    <row r="116" spans="1:55" s="117" customFormat="1" hidden="1" x14ac:dyDescent="0.25">
      <c r="A116" s="12" t="str">
        <f ca="1">IF(F116+G116+H116+I116+J116+D116+E116=3,IF(Tabelle2[[#This Row],[Kappe Weiß]]=Limits!$R$29,1,""),"")</f>
        <v/>
      </c>
      <c r="B116" s="12" t="str">
        <f ca="1">IF(G116+H116+I116+J116+E116+F116=2,IF(Tabelle2[[#This Row],[Kappe Weiß]]=Limits!$R$29,1,""),"")</f>
        <v/>
      </c>
      <c r="C116" s="291">
        <v>0</v>
      </c>
      <c r="D116" s="171">
        <f>IF(Limits!$P$12=TRUE,1,0)</f>
        <v>0</v>
      </c>
      <c r="E116" s="172">
        <f>IF(Daten!$P116+Daten!$Q116+Daten!$S116=3,1,0)</f>
        <v>0</v>
      </c>
      <c r="F116" s="173">
        <f ca="1">IF(AND(Limits!$Q$21=TRUE,Daten!O116=1)=TRUE,1,0)</f>
        <v>0</v>
      </c>
      <c r="G116" s="174">
        <f>IF(AND(Limits!$Q$25=TRUE,Daten!N116=1)=TRUE,1,0)</f>
        <v>0</v>
      </c>
      <c r="H116" s="174">
        <f>IF(AND(Limits!$Q$24=TRUE,Daten!M116=1)=TRUE,1,0)</f>
        <v>0</v>
      </c>
      <c r="I116" s="174">
        <f>IF(AND(Limits!$Q$23=TRUE,Daten!L116=1)=TRUE,1,0)</f>
        <v>0</v>
      </c>
      <c r="J116" s="174">
        <f>IF(AND(Limits!$Q$22=TRUE,Daten!K116=1)=TRUE,1,0)</f>
        <v>0</v>
      </c>
      <c r="K116" s="188">
        <f>IF(Daten!$V116=13,1,0)</f>
        <v>0</v>
      </c>
      <c r="L116" s="189">
        <f>IF(Daten!$V116&lt;&gt;Daten!$W116,1,IF(Daten!$V116=14,1,0))</f>
        <v>1</v>
      </c>
      <c r="M116" s="189">
        <f>IF(Daten!$V116&lt;&gt;Daten!$W116,1,IF(Daten!$V116=16,1,0))</f>
        <v>0</v>
      </c>
      <c r="N116" s="189">
        <f>IF(Daten!$W116=17,1,0)</f>
        <v>0</v>
      </c>
      <c r="O116" s="190">
        <f ca="1">IF(Daten!$X116=Sprache!$A$70,1,0)</f>
        <v>0</v>
      </c>
      <c r="P116" s="191">
        <f>IF(AND(Daten!$AQ116&lt;=KINVARO!$AW$3,Daten!$AR116&gt;=KINVARO!$AW$3)=TRUE,1,0)</f>
        <v>1</v>
      </c>
      <c r="Q116" s="192">
        <f>IF(AND(Daten!$AA116&lt;=KINVARO!$AW$4,Daten!$AB116&gt;=KINVARO!$AW$4)=TRUE,1,0)</f>
        <v>0</v>
      </c>
      <c r="R116" s="192"/>
      <c r="S116" s="192">
        <f>IF(AND(Daten!$AD116&lt;=Limits!$I$70,Daten!$AE116&gt;=Limits!$I$70)=TRUE,1,0)</f>
        <v>0</v>
      </c>
      <c r="T116" s="193">
        <f ca="1">IF(Daten!$Y116=Sprache!$A$135,1,0)</f>
        <v>0</v>
      </c>
      <c r="U116" s="124" t="str">
        <f ca="1">Sprache!$A$62</f>
        <v>T-105 Коленчатый подъемник</v>
      </c>
      <c r="V116" s="194">
        <v>14</v>
      </c>
      <c r="W116" s="193">
        <v>14</v>
      </c>
      <c r="X116" s="187" t="str">
        <f ca="1">Sprache!$A$141</f>
        <v>Alu</v>
      </c>
      <c r="Y116" s="187" t="str">
        <f ca="1">Sprache!$A$136</f>
        <v>nein</v>
      </c>
      <c r="Z116" s="187" t="str">
        <f ca="1">Sprache!$A$79</f>
        <v>Створка</v>
      </c>
      <c r="AA116" s="187">
        <v>250</v>
      </c>
      <c r="AB116" s="124">
        <v>299</v>
      </c>
      <c r="AC116" s="187"/>
      <c r="AD116" s="195">
        <v>3.4</v>
      </c>
      <c r="AE116" s="196">
        <v>8.9</v>
      </c>
      <c r="AF116" s="263" t="str">
        <f>MID(Tabelle2[[#This Row],[bnr full]],1,4)</f>
        <v>F151</v>
      </c>
      <c r="AG116" s="264" t="str">
        <f>MID(Tabelle2[[#This Row],[bnr full]],5,3)</f>
        <v>145</v>
      </c>
      <c r="AH116" s="265" t="str">
        <f>MID(Tabelle2[[#This Row],[bnr full]],8,3)</f>
        <v>214</v>
      </c>
      <c r="AI116" s="264" t="str">
        <f>MID(Tabelle2[[#This Row],[bnr full]],11,3)</f>
        <v>201</v>
      </c>
      <c r="AJ116" s="252" t="str">
        <f>MID(Tabelle2[[#This Row],[bnr full]],11,3)</f>
        <v>201</v>
      </c>
      <c r="AK116" s="197" t="s">
        <v>787</v>
      </c>
      <c r="AL116" s="132" t="str">
        <f ca="1">Sprache!$A$112</f>
        <v>Правый</v>
      </c>
      <c r="AM116" s="187" t="str">
        <f ca="1">Sprache!$A$134</f>
        <v>2 коленчатых подъемника</v>
      </c>
      <c r="AN116" s="187" t="str">
        <f ca="1">Sprache!$A$125</f>
        <v>Пружина, стандарт</v>
      </c>
      <c r="AO116" s="187" t="str">
        <f ca="1">Sprache!$A$148</f>
        <v>Коленчатый подъемник Kinvaro T-105, правый</v>
      </c>
      <c r="AP116" s="187" t="s">
        <v>818</v>
      </c>
      <c r="AQ116" s="187">
        <f>Limits!$K$9</f>
        <v>200</v>
      </c>
      <c r="AR116" s="124">
        <v>1200</v>
      </c>
      <c r="AS116" s="187" t="str">
        <f ca="1">CONCATENATE("TIOMOS 110° ",Sprache!$A$150)</f>
        <v>TIOMOS 110° Шарнир для алюминиевой рамки</v>
      </c>
      <c r="AT116" s="187" t="str">
        <f ca="1">CONCATENATE("1D° ",Sprache!$A$149)</f>
        <v>1D° Монтажная плита</v>
      </c>
    </row>
    <row r="117" spans="1:55" s="5" customFormat="1" hidden="1" x14ac:dyDescent="0.25">
      <c r="A117" s="239" t="str">
        <f ca="1">IF(F117+G117+H117+I117+J117+D117+E117=3,IF(Tabelle2[[#This Row],[Kappe Weiß]]=Limits!$R$29,1,""),"")</f>
        <v/>
      </c>
      <c r="B117" s="239" t="str">
        <f ca="1">IF(G117+H117+I117+J117+E117+F117=2,IF(Tabelle2[[#This Row],[Kappe Weiß]]=Limits!$R$29,1,""),"")</f>
        <v/>
      </c>
      <c r="C117" s="294">
        <v>0</v>
      </c>
      <c r="D117" s="207">
        <f>IF(Limits!$P$12=TRUE,1,0)</f>
        <v>0</v>
      </c>
      <c r="E117" s="240">
        <f>IF(Daten!$P117+Daten!$Q117+Daten!$S117=3,1,0)</f>
        <v>0</v>
      </c>
      <c r="F117" s="241">
        <f ca="1">IF(AND(Limits!$Q$21=TRUE,Daten!O117=1)=TRUE,1,0)</f>
        <v>0</v>
      </c>
      <c r="G117" s="242">
        <f>IF(AND(Limits!$Q$25=TRUE,Daten!N117=1)=TRUE,1,0)</f>
        <v>0</v>
      </c>
      <c r="H117" s="242">
        <f>IF(AND(Limits!$Q$24=TRUE,Daten!M117=1)=TRUE,1,0)</f>
        <v>0</v>
      </c>
      <c r="I117" s="242">
        <f>IF(AND(Limits!$Q$23=TRUE,Daten!L117=1)=TRUE,1,0)</f>
        <v>0</v>
      </c>
      <c r="J117" s="242">
        <f>IF(AND(Limits!$Q$22=TRUE,Daten!K117=1)=TRUE,1,0)</f>
        <v>0</v>
      </c>
      <c r="K117" s="243">
        <f>IF(Daten!$V117=13,1,0)</f>
        <v>0</v>
      </c>
      <c r="L117" s="244">
        <f>IF(Daten!$V117&lt;&gt;Daten!$W117,1,IF(Daten!$V117=14,1,0))</f>
        <v>0</v>
      </c>
      <c r="M117" s="244">
        <f>IF(Daten!$V117&lt;&gt;Daten!$W117,1,IF(Daten!$V117=16,1,0))</f>
        <v>1</v>
      </c>
      <c r="N117" s="244">
        <f>IF(Daten!$W117=17,1,0)</f>
        <v>0</v>
      </c>
      <c r="O117" s="245">
        <f ca="1">IF(Daten!$X117=Sprache!$A$70,1,0)</f>
        <v>0</v>
      </c>
      <c r="P117" s="217">
        <f>IF(AND(Daten!$AQ117&lt;=KINVARO!$AW$3,Daten!$AR117&gt;=KINVARO!$AW$3)=TRUE,1,0)</f>
        <v>1</v>
      </c>
      <c r="Q117" s="218">
        <f>IF(AND(Daten!$AA117&lt;=KINVARO!$AW$4,Daten!$AB117&gt;=KINVARO!$AW$4)=TRUE,1,0)</f>
        <v>0</v>
      </c>
      <c r="R117" s="218"/>
      <c r="S117" s="218">
        <f>IF(AND(Daten!$AD117&lt;=Limits!$I$70,Daten!$AE117&gt;=Limits!$I$70)=TRUE,1,0)</f>
        <v>0</v>
      </c>
      <c r="T117" s="219">
        <f ca="1">IF(Daten!$Y117=Sprache!$A$135,1,0)</f>
        <v>0</v>
      </c>
      <c r="U117" s="132" t="str">
        <f ca="1">Sprache!$A$62</f>
        <v>T-105 Коленчатый подъемник</v>
      </c>
      <c r="V117" s="221">
        <v>16</v>
      </c>
      <c r="W117" s="219">
        <v>16</v>
      </c>
      <c r="X117" s="220" t="str">
        <f ca="1">Sprache!$A$141</f>
        <v>Alu</v>
      </c>
      <c r="Y117" s="220" t="str">
        <f ca="1">Sprache!$A$136</f>
        <v>nein</v>
      </c>
      <c r="Z117" s="220" t="str">
        <f ca="1">Sprache!$A$79</f>
        <v>Створка</v>
      </c>
      <c r="AA117" s="220">
        <v>250</v>
      </c>
      <c r="AB117" s="132">
        <v>299</v>
      </c>
      <c r="AC117" s="220"/>
      <c r="AD117" s="222">
        <v>3.4</v>
      </c>
      <c r="AE117" s="223">
        <v>8.9</v>
      </c>
      <c r="AF117" s="272" t="str">
        <f>MID(Tabelle2[[#This Row],[bnr full]],1,4)</f>
        <v>F151</v>
      </c>
      <c r="AG117" s="273" t="str">
        <f>MID(Tabelle2[[#This Row],[bnr full]],5,3)</f>
        <v>145</v>
      </c>
      <c r="AH117" s="274" t="str">
        <f>MID(Tabelle2[[#This Row],[bnr full]],8,3)</f>
        <v>216</v>
      </c>
      <c r="AI117" s="273" t="str">
        <f>MID(Tabelle2[[#This Row],[bnr full]],11,3)</f>
        <v>201</v>
      </c>
      <c r="AJ117" s="255" t="str">
        <f>MID(Tabelle2[[#This Row],[bnr full]],11,3)</f>
        <v>201</v>
      </c>
      <c r="AK117" s="224" t="s">
        <v>788</v>
      </c>
      <c r="AL117" s="132" t="str">
        <f ca="1">Sprache!$A$112</f>
        <v>Правый</v>
      </c>
      <c r="AM117" s="220" t="str">
        <f ca="1">Sprache!$A$134</f>
        <v>2 коленчатых подъемника</v>
      </c>
      <c r="AN117" s="220" t="str">
        <f ca="1">Sprache!$A$125</f>
        <v>Пружина, стандарт</v>
      </c>
      <c r="AO117" s="220" t="str">
        <f ca="1">Sprache!$A$148</f>
        <v>Коленчатый подъемник Kinvaro T-105, правый</v>
      </c>
      <c r="AP117" s="220" t="s">
        <v>819</v>
      </c>
      <c r="AQ117" s="220">
        <f>Limits!$K$9</f>
        <v>200</v>
      </c>
      <c r="AR117" s="132">
        <v>1200</v>
      </c>
      <c r="AS117" s="220" t="str">
        <f ca="1">CONCATENATE("TIOMOS 110° ",Sprache!$A$150)</f>
        <v>TIOMOS 110° Шарнир для алюминиевой рамки</v>
      </c>
      <c r="AT117" s="220" t="str">
        <f ca="1">CONCATENATE("1D° ",Sprache!$A$149)</f>
        <v>1D° Монтажная плита</v>
      </c>
    </row>
    <row r="118" spans="1:55" s="5" customFormat="1" hidden="1" x14ac:dyDescent="0.25">
      <c r="A118" s="12" t="str">
        <f ca="1">IF(F118+G118+H118+I118+J118+D118+E118=3,IF(Tabelle2[[#This Row],[Kappe Weiß]]=Limits!$R$29,1,""),"")</f>
        <v/>
      </c>
      <c r="B118" s="12" t="str">
        <f ca="1">IF(G118+H118+I118+J118+E118+F118=2,IF(Tabelle2[[#This Row],[Kappe Weiß]]=Limits!$R$29,1,""),"")</f>
        <v/>
      </c>
      <c r="C118" s="291">
        <v>0</v>
      </c>
      <c r="D118" s="171">
        <f>IF(Limits!$P$12=TRUE,1,0)</f>
        <v>0</v>
      </c>
      <c r="E118" s="172">
        <f>IF(Daten!$P118+Daten!$Q118+Daten!$S118=3,1,0)</f>
        <v>0</v>
      </c>
      <c r="F118" s="173">
        <f ca="1">IF(AND(Limits!$Q$21=TRUE,Daten!O118=1)=TRUE,1,0)</f>
        <v>1</v>
      </c>
      <c r="G118" s="174">
        <f ca="1">IF(AND(Limits!$Q$25=TRUE,Daten!N118=1)=TRUE,1,0)</f>
        <v>0</v>
      </c>
      <c r="H118" s="174">
        <f ca="1">IF(AND(Limits!$Q$24=TRUE,Daten!M118=1)=TRUE,1,0)</f>
        <v>0</v>
      </c>
      <c r="I118" s="174">
        <f ca="1">IF(AND(Limits!$Q$23=TRUE,Daten!L118=1)=TRUE,1,0)</f>
        <v>0</v>
      </c>
      <c r="J118" s="174">
        <f ca="1">IF(AND(Limits!$Q$22=TRUE,Daten!K118=1)=TRUE,1,0)</f>
        <v>0</v>
      </c>
      <c r="K118" s="188">
        <f ca="1">IF(Daten!$V118=13,1,0)</f>
        <v>0</v>
      </c>
      <c r="L118" s="189">
        <f ca="1">IF(Daten!$V118&lt;&gt;Daten!$W118,1,IF(Daten!$V118=14,1,0))</f>
        <v>0</v>
      </c>
      <c r="M118" s="189">
        <f ca="1">IF(Daten!$V118&lt;&gt;Daten!$W118,1,IF(Daten!$V118=16,1,0))</f>
        <v>0</v>
      </c>
      <c r="N118" s="189">
        <f ca="1">IF(Daten!$W118=17,1,0)</f>
        <v>0</v>
      </c>
      <c r="O118" s="190">
        <f ca="1">IF(Daten!$X118=Sprache!$A$70,1,0)</f>
        <v>1</v>
      </c>
      <c r="P118" s="191">
        <f>IF(AND(Daten!$AQ118&lt;=KINVARO!$AW$3,Daten!$AR118&gt;=KINVARO!$AW$3)=TRUE,1,0)</f>
        <v>1</v>
      </c>
      <c r="Q118" s="192">
        <f>IF(AND(Daten!$AA118&lt;=KINVARO!$AW$4,Daten!$AB118&gt;=KINVARO!$AW$4)=TRUE,1,0)</f>
        <v>0</v>
      </c>
      <c r="R118" s="192"/>
      <c r="S118" s="192">
        <f>IF(AND(Daten!$AD118&lt;=Limits!$I$70,Daten!$AE118&gt;=Limits!$I$70)=TRUE,1,0)</f>
        <v>0</v>
      </c>
      <c r="T118" s="193">
        <f ca="1">IF(Daten!$Y118=Sprache!$A$135,1,0)</f>
        <v>0</v>
      </c>
      <c r="U118" s="124" t="str">
        <f ca="1">Sprache!$A$62</f>
        <v>T-105 Коленчатый подъемник</v>
      </c>
      <c r="V118" s="194" t="str">
        <f ca="1">Sprache!$A$74</f>
        <v>var</v>
      </c>
      <c r="W118" s="193" t="str">
        <f ca="1">Sprache!$A$74</f>
        <v>var</v>
      </c>
      <c r="X118" s="187" t="str">
        <f ca="1">Sprache!$A$70</f>
        <v>соединение с древесиной</v>
      </c>
      <c r="Y118" s="187" t="str">
        <f ca="1">Sprache!$A$136</f>
        <v>nein</v>
      </c>
      <c r="Z118" s="187" t="str">
        <f ca="1">Sprache!$A$79</f>
        <v>Створка</v>
      </c>
      <c r="AA118" s="187">
        <v>300</v>
      </c>
      <c r="AB118" s="124">
        <v>349</v>
      </c>
      <c r="AC118" s="187"/>
      <c r="AD118" s="195">
        <v>1.6</v>
      </c>
      <c r="AE118" s="196">
        <v>4.3</v>
      </c>
      <c r="AF118" s="263" t="str">
        <f>MID(Tabelle2[[#This Row],[bnr full]],1,4)</f>
        <v>F151</v>
      </c>
      <c r="AG118" s="264" t="str">
        <f>MID(Tabelle2[[#This Row],[bnr full]],5,3)</f>
        <v>145</v>
      </c>
      <c r="AH118" s="265" t="str">
        <f>MID(Tabelle2[[#This Row],[bnr full]],8,3)</f>
        <v>220</v>
      </c>
      <c r="AI118" s="264" t="str">
        <f>MID(Tabelle2[[#This Row],[bnr full]],11,3)</f>
        <v>201</v>
      </c>
      <c r="AJ118" s="252" t="str">
        <f>MID(Tabelle2[[#This Row],[bnr full]],11,3)</f>
        <v>201</v>
      </c>
      <c r="AK118" s="197" t="s">
        <v>785</v>
      </c>
      <c r="AL118" s="124" t="str">
        <f ca="1">Sprache!$A$112</f>
        <v>Правый</v>
      </c>
      <c r="AM118" s="187" t="str">
        <f ca="1">Sprache!$A$133</f>
        <v>1 коленчатый подъемник</v>
      </c>
      <c r="AN118" s="187" t="str">
        <f ca="1">Sprache!$A$125</f>
        <v>Пружина, стандарт</v>
      </c>
      <c r="AO118" s="187" t="str">
        <f ca="1">Sprache!$A$148</f>
        <v>Коленчатый подъемник Kinvaro T-105, правый</v>
      </c>
      <c r="AP118" s="187" t="s">
        <v>816</v>
      </c>
      <c r="AQ118" s="187">
        <f>Limits!$K$9</f>
        <v>200</v>
      </c>
      <c r="AR118" s="124">
        <v>1200</v>
      </c>
      <c r="AS118" s="187" t="str">
        <f ca="1">CONCATENATE("TIOMOS 110° ",Sprache!$A$98)</f>
        <v>TIOMOS 110° Шарнир</v>
      </c>
      <c r="AT118" s="187" t="str">
        <f ca="1">CONCATENATE("1D° ",Sprache!$A$149)</f>
        <v>1D° Монтажная плита</v>
      </c>
    </row>
    <row r="119" spans="1:55" hidden="1" x14ac:dyDescent="0.25">
      <c r="A119" s="12" t="str">
        <f ca="1">IF(F119+G119+H119+I119+J119+D119+E119=3,IF(Tabelle2[[#This Row],[Kappe Weiß]]=Limits!$R$29,1,""),"")</f>
        <v/>
      </c>
      <c r="B119" s="12" t="str">
        <f ca="1">IF(G119+H119+I119+J119+E119+F119=2,IF(Tabelle2[[#This Row],[Kappe Weiß]]=Limits!$R$29,1,""),"")</f>
        <v/>
      </c>
      <c r="C119" s="291">
        <v>0</v>
      </c>
      <c r="D119" s="171">
        <f>IF(Limits!$P$12=TRUE,1,0)</f>
        <v>0</v>
      </c>
      <c r="E119" s="172">
        <f>IF(Daten!$P119+Daten!$Q119+Daten!$S119=3,1,0)</f>
        <v>0</v>
      </c>
      <c r="F119" s="173">
        <f ca="1">IF(AND(Limits!$Q$21=TRUE,Daten!O119=1)=TRUE,1,0)</f>
        <v>1</v>
      </c>
      <c r="G119" s="174">
        <f ca="1">IF(AND(Limits!$Q$25=TRUE,Daten!N119=1)=TRUE,1,0)</f>
        <v>0</v>
      </c>
      <c r="H119" s="174">
        <f ca="1">IF(AND(Limits!$Q$24=TRUE,Daten!M119=1)=TRUE,1,0)</f>
        <v>0</v>
      </c>
      <c r="I119" s="174">
        <f ca="1">IF(AND(Limits!$Q$23=TRUE,Daten!L119=1)=TRUE,1,0)</f>
        <v>0</v>
      </c>
      <c r="J119" s="174">
        <f ca="1">IF(AND(Limits!$Q$22=TRUE,Daten!K119=1)=TRUE,1,0)</f>
        <v>0</v>
      </c>
      <c r="K119" s="188">
        <f ca="1">IF(Daten!$V119=13,1,0)</f>
        <v>0</v>
      </c>
      <c r="L119" s="189">
        <f ca="1">IF(Daten!$V119&lt;&gt;Daten!$W119,1,IF(Daten!$V119=14,1,0))</f>
        <v>0</v>
      </c>
      <c r="M119" s="189">
        <f ca="1">IF(Daten!$V119&lt;&gt;Daten!$W119,1,IF(Daten!$V119=16,1,0))</f>
        <v>0</v>
      </c>
      <c r="N119" s="189">
        <f ca="1">IF(Daten!$W119=17,1,0)</f>
        <v>0</v>
      </c>
      <c r="O119" s="190">
        <f ca="1">IF(Daten!$X119=Sprache!$A$70,1,0)</f>
        <v>1</v>
      </c>
      <c r="P119" s="191">
        <f>IF(AND(Daten!$AQ119&lt;=KINVARO!$AW$3,Daten!$AR119&gt;=KINVARO!$AW$3)=TRUE,1,0)</f>
        <v>1</v>
      </c>
      <c r="Q119" s="192">
        <f>IF(AND(Daten!$AA119&lt;=KINVARO!$AW$4,Daten!$AB119&gt;=KINVARO!$AW$4)=TRUE,1,0)</f>
        <v>0</v>
      </c>
      <c r="R119" s="192"/>
      <c r="S119" s="192">
        <f>IF(AND(Daten!$AD119&lt;=Limits!$I$70,Daten!$AE119&gt;=Limits!$I$70)=TRUE,1,0)</f>
        <v>0</v>
      </c>
      <c r="T119" s="193">
        <f ca="1">IF(Daten!$Y119=Sprache!$A$135,1,0)</f>
        <v>0</v>
      </c>
      <c r="U119" s="124" t="str">
        <f ca="1">Sprache!$A$62</f>
        <v>T-105 Коленчатый подъемник</v>
      </c>
      <c r="V119" s="194" t="str">
        <f ca="1">Sprache!$A$74</f>
        <v>var</v>
      </c>
      <c r="W119" s="193" t="str">
        <f ca="1">Sprache!$A$74</f>
        <v>var</v>
      </c>
      <c r="X119" s="187" t="str">
        <f ca="1">Sprache!$A$70</f>
        <v>соединение с древесиной</v>
      </c>
      <c r="Y119" s="187" t="str">
        <f ca="1">Sprache!$A$136</f>
        <v>nein</v>
      </c>
      <c r="Z119" s="187" t="str">
        <f ca="1">Sprache!$A$79</f>
        <v>Створка</v>
      </c>
      <c r="AA119" s="187">
        <v>300</v>
      </c>
      <c r="AB119" s="124">
        <v>349</v>
      </c>
      <c r="AC119" s="187"/>
      <c r="AD119" s="195">
        <v>2.8</v>
      </c>
      <c r="AE119" s="196">
        <v>5.2</v>
      </c>
      <c r="AF119" s="263" t="str">
        <f>MID(Tabelle2[[#This Row],[bnr full]],1,4)</f>
        <v>F151</v>
      </c>
      <c r="AG119" s="264" t="str">
        <f>MID(Tabelle2[[#This Row],[bnr full]],5,3)</f>
        <v>145</v>
      </c>
      <c r="AH119" s="265" t="str">
        <f>MID(Tabelle2[[#This Row],[bnr full]],8,3)</f>
        <v>218</v>
      </c>
      <c r="AI119" s="264" t="str">
        <f>MID(Tabelle2[[#This Row],[bnr full]],11,3)</f>
        <v>201</v>
      </c>
      <c r="AJ119" s="252" t="str">
        <f>MID(Tabelle2[[#This Row],[bnr full]],11,3)</f>
        <v>201</v>
      </c>
      <c r="AK119" s="197" t="s">
        <v>786</v>
      </c>
      <c r="AL119" s="124" t="str">
        <f ca="1">Sprache!$A$112</f>
        <v>Правый</v>
      </c>
      <c r="AM119" s="187" t="str">
        <f ca="1">Sprache!$A$133</f>
        <v>1 коленчатый подъемник</v>
      </c>
      <c r="AN119" s="187" t="str">
        <f ca="1">Sprache!$A$126</f>
        <v>Пружина, черная</v>
      </c>
      <c r="AO119" s="187" t="str">
        <f ca="1">Sprache!$A$148</f>
        <v>Коленчатый подъемник Kinvaro T-105, правый</v>
      </c>
      <c r="AP119" s="187" t="s">
        <v>817</v>
      </c>
      <c r="AQ119" s="187">
        <f>Limits!$K$9</f>
        <v>200</v>
      </c>
      <c r="AR119" s="124">
        <v>1200</v>
      </c>
      <c r="AS119" s="187" t="str">
        <f ca="1">CONCATENATE("TIOMOS 110° ",Sprache!$A$98)</f>
        <v>TIOMOS 110° Шарнир</v>
      </c>
      <c r="AT119" s="187" t="str">
        <f ca="1">CONCATENATE("1D° ",Sprache!$A$149)</f>
        <v>1D° Монтажная плита</v>
      </c>
      <c r="AU119"/>
      <c r="AV119"/>
      <c r="AY119"/>
      <c r="AZ119"/>
      <c r="BA119"/>
      <c r="BB119"/>
      <c r="BC119"/>
    </row>
    <row r="120" spans="1:55" hidden="1" x14ac:dyDescent="0.25">
      <c r="A120" s="12" t="str">
        <f ca="1">IF(F120+G120+H120+I120+J120+D120+E120=3,IF(Tabelle2[[#This Row],[Kappe Weiß]]=Limits!$R$29,1,""),"")</f>
        <v/>
      </c>
      <c r="B120" s="12" t="str">
        <f ca="1">IF(G120+H120+I120+J120+E120+F120=2,IF(Tabelle2[[#This Row],[Kappe Weiß]]=Limits!$R$29,1,""),"")</f>
        <v/>
      </c>
      <c r="C120" s="291">
        <v>0</v>
      </c>
      <c r="D120" s="171">
        <f>IF(Limits!$P$12=TRUE,1,0)</f>
        <v>0</v>
      </c>
      <c r="E120" s="172">
        <f>IF(Daten!$P120+Daten!$Q120+Daten!$S120=3,1,0)</f>
        <v>0</v>
      </c>
      <c r="F120" s="173">
        <f ca="1">IF(AND(Limits!$Q$21=TRUE,Daten!O120=1)=TRUE,1,0)</f>
        <v>0</v>
      </c>
      <c r="G120" s="174">
        <f>IF(AND(Limits!$Q$25=TRUE,Daten!N120=1)=TRUE,1,0)</f>
        <v>0</v>
      </c>
      <c r="H120" s="174">
        <f>IF(AND(Limits!$Q$24=TRUE,Daten!M120=1)=TRUE,1,0)</f>
        <v>0</v>
      </c>
      <c r="I120" s="174">
        <f>IF(AND(Limits!$Q$23=TRUE,Daten!L120=1)=TRUE,1,0)</f>
        <v>0</v>
      </c>
      <c r="J120" s="174">
        <f>IF(AND(Limits!$Q$22=TRUE,Daten!K120=1)=TRUE,1,0)</f>
        <v>0</v>
      </c>
      <c r="K120" s="188">
        <f>IF(Daten!$V120=13,1,0)</f>
        <v>0</v>
      </c>
      <c r="L120" s="189">
        <f>IF(Daten!$V120&lt;&gt;Daten!$W120,1,IF(Daten!$V120=14,1,0))</f>
        <v>1</v>
      </c>
      <c r="M120" s="189">
        <f>IF(Daten!$V120&lt;&gt;Daten!$W120,1,IF(Daten!$V120=16,1,0))</f>
        <v>0</v>
      </c>
      <c r="N120" s="189">
        <f>IF(Daten!$W120=17,1,0)</f>
        <v>0</v>
      </c>
      <c r="O120" s="190">
        <f ca="1">IF(Daten!$X120=Sprache!$A$70,1,0)</f>
        <v>0</v>
      </c>
      <c r="P120" s="191">
        <f>IF(AND(Daten!$AQ120&lt;=KINVARO!$AW$3,Daten!$AR120&gt;=KINVARO!$AW$3)=TRUE,1,0)</f>
        <v>1</v>
      </c>
      <c r="Q120" s="192">
        <f>IF(AND(Daten!$AA120&lt;=KINVARO!$AW$4,Daten!$AB120&gt;=KINVARO!$AW$4)=TRUE,1,0)</f>
        <v>0</v>
      </c>
      <c r="R120" s="192"/>
      <c r="S120" s="192">
        <f>IF(AND(Daten!$AD120&lt;=Limits!$I$70,Daten!$AE120&gt;=Limits!$I$70)=TRUE,1,0)</f>
        <v>0</v>
      </c>
      <c r="T120" s="193">
        <f ca="1">IF(Daten!$Y120=Sprache!$A$135,1,0)</f>
        <v>0</v>
      </c>
      <c r="U120" s="124" t="str">
        <f ca="1">Sprache!$A$62</f>
        <v>T-105 Коленчатый подъемник</v>
      </c>
      <c r="V120" s="194">
        <v>14</v>
      </c>
      <c r="W120" s="193">
        <v>14</v>
      </c>
      <c r="X120" s="187" t="str">
        <f ca="1">Sprache!$A$141</f>
        <v>Alu</v>
      </c>
      <c r="Y120" s="187" t="str">
        <f ca="1">Sprache!$A$136</f>
        <v>nein</v>
      </c>
      <c r="Z120" s="187" t="str">
        <f ca="1">Sprache!$A$79</f>
        <v>Створка</v>
      </c>
      <c r="AA120" s="187">
        <v>300</v>
      </c>
      <c r="AB120" s="124">
        <v>349</v>
      </c>
      <c r="AC120" s="187"/>
      <c r="AD120" s="195">
        <v>1.6</v>
      </c>
      <c r="AE120" s="196">
        <v>4.3</v>
      </c>
      <c r="AF120" s="263" t="str">
        <f>MID(Tabelle2[[#This Row],[bnr full]],1,4)</f>
        <v>F151</v>
      </c>
      <c r="AG120" s="264" t="str">
        <f>MID(Tabelle2[[#This Row],[bnr full]],5,3)</f>
        <v>145</v>
      </c>
      <c r="AH120" s="265" t="str">
        <f>MID(Tabelle2[[#This Row],[bnr full]],8,3)</f>
        <v>214</v>
      </c>
      <c r="AI120" s="264" t="str">
        <f>MID(Tabelle2[[#This Row],[bnr full]],11,3)</f>
        <v>201</v>
      </c>
      <c r="AJ120" s="252" t="str">
        <f>MID(Tabelle2[[#This Row],[bnr full]],11,3)</f>
        <v>201</v>
      </c>
      <c r="AK120" s="197" t="s">
        <v>787</v>
      </c>
      <c r="AL120" s="124" t="str">
        <f ca="1">Sprache!$A$112</f>
        <v>Правый</v>
      </c>
      <c r="AM120" s="187" t="str">
        <f ca="1">Sprache!$A$133</f>
        <v>1 коленчатый подъемник</v>
      </c>
      <c r="AN120" s="187" t="str">
        <f ca="1">Sprache!$A$125</f>
        <v>Пружина, стандарт</v>
      </c>
      <c r="AO120" s="187" t="str">
        <f ca="1">Sprache!$A$148</f>
        <v>Коленчатый подъемник Kinvaro T-105, правый</v>
      </c>
      <c r="AP120" s="187" t="s">
        <v>818</v>
      </c>
      <c r="AQ120" s="187">
        <f>Limits!$K$9</f>
        <v>200</v>
      </c>
      <c r="AR120" s="124">
        <v>1200</v>
      </c>
      <c r="AS120" s="187" t="str">
        <f ca="1">CONCATENATE("TIOMOS 110° ",Sprache!$A$150)</f>
        <v>TIOMOS 110° Шарнир для алюминиевой рамки</v>
      </c>
      <c r="AT120" s="187" t="str">
        <f ca="1">CONCATENATE("1D° ",Sprache!$A$149)</f>
        <v>1D° Монтажная плита</v>
      </c>
      <c r="AU120"/>
      <c r="AV120"/>
      <c r="AY120"/>
      <c r="AZ120"/>
      <c r="BA120"/>
      <c r="BB120"/>
      <c r="BC120"/>
    </row>
    <row r="121" spans="1:55" s="5" customFormat="1" hidden="1" x14ac:dyDescent="0.25">
      <c r="A121" s="12" t="str">
        <f ca="1">IF(F121+G121+H121+I121+J121+D121+E121=3,IF(Tabelle2[[#This Row],[Kappe Weiß]]=Limits!$R$29,1,""),"")</f>
        <v/>
      </c>
      <c r="B121" s="12" t="str">
        <f ca="1">IF(G121+H121+I121+J121+E121+F121=2,IF(Tabelle2[[#This Row],[Kappe Weiß]]=Limits!$R$29,1,""),"")</f>
        <v/>
      </c>
      <c r="C121" s="291">
        <v>0</v>
      </c>
      <c r="D121" s="171">
        <f>IF(Limits!$P$12=TRUE,1,0)</f>
        <v>0</v>
      </c>
      <c r="E121" s="172">
        <f>IF(Daten!$P121+Daten!$Q121+Daten!$S121=3,1,0)</f>
        <v>0</v>
      </c>
      <c r="F121" s="173">
        <f ca="1">IF(AND(Limits!$Q$21=TRUE,Daten!O121=1)=TRUE,1,0)</f>
        <v>0</v>
      </c>
      <c r="G121" s="174">
        <f>IF(AND(Limits!$Q$25=TRUE,Daten!N121=1)=TRUE,1,0)</f>
        <v>0</v>
      </c>
      <c r="H121" s="174">
        <f>IF(AND(Limits!$Q$24=TRUE,Daten!M121=1)=TRUE,1,0)</f>
        <v>0</v>
      </c>
      <c r="I121" s="174">
        <f>IF(AND(Limits!$Q$23=TRUE,Daten!L121=1)=TRUE,1,0)</f>
        <v>0</v>
      </c>
      <c r="J121" s="174">
        <f>IF(AND(Limits!$Q$22=TRUE,Daten!K121=1)=TRUE,1,0)</f>
        <v>0</v>
      </c>
      <c r="K121" s="188">
        <f>IF(Daten!$V121=13,1,0)</f>
        <v>0</v>
      </c>
      <c r="L121" s="189">
        <f>IF(Daten!$V121&lt;&gt;Daten!$W121,1,IF(Daten!$V121=14,1,0))</f>
        <v>0</v>
      </c>
      <c r="M121" s="189">
        <f>IF(Daten!$V121&lt;&gt;Daten!$W121,1,IF(Daten!$V121=16,1,0))</f>
        <v>1</v>
      </c>
      <c r="N121" s="189">
        <f>IF(Daten!$W121=17,1,0)</f>
        <v>0</v>
      </c>
      <c r="O121" s="190">
        <f ca="1">IF(Daten!$X121=Sprache!$A$70,1,0)</f>
        <v>0</v>
      </c>
      <c r="P121" s="191">
        <f>IF(AND(Daten!$AQ121&lt;=KINVARO!$AW$3,Daten!$AR121&gt;=KINVARO!$AW$3)=TRUE,1,0)</f>
        <v>1</v>
      </c>
      <c r="Q121" s="192">
        <f>IF(AND(Daten!$AA121&lt;=KINVARO!$AW$4,Daten!$AB121&gt;=KINVARO!$AW$4)=TRUE,1,0)</f>
        <v>0</v>
      </c>
      <c r="R121" s="192"/>
      <c r="S121" s="192">
        <f>IF(AND(Daten!$AD121&lt;=Limits!$I$70,Daten!$AE121&gt;=Limits!$I$70)=TRUE,1,0)</f>
        <v>0</v>
      </c>
      <c r="T121" s="193">
        <f ca="1">IF(Daten!$Y121=Sprache!$A$135,1,0)</f>
        <v>0</v>
      </c>
      <c r="U121" s="124" t="str">
        <f ca="1">Sprache!$A$62</f>
        <v>T-105 Коленчатый подъемник</v>
      </c>
      <c r="V121" s="194">
        <v>16</v>
      </c>
      <c r="W121" s="193">
        <v>16</v>
      </c>
      <c r="X121" s="187" t="str">
        <f ca="1">Sprache!$A$141</f>
        <v>Alu</v>
      </c>
      <c r="Y121" s="187" t="str">
        <f ca="1">Sprache!$A$136</f>
        <v>nein</v>
      </c>
      <c r="Z121" s="187" t="str">
        <f ca="1">Sprache!$A$79</f>
        <v>Створка</v>
      </c>
      <c r="AA121" s="187">
        <v>300</v>
      </c>
      <c r="AB121" s="124">
        <v>349</v>
      </c>
      <c r="AC121" s="187"/>
      <c r="AD121" s="195">
        <v>1.6</v>
      </c>
      <c r="AE121" s="196">
        <v>4.3</v>
      </c>
      <c r="AF121" s="263" t="str">
        <f>MID(Tabelle2[[#This Row],[bnr full]],1,4)</f>
        <v>F151</v>
      </c>
      <c r="AG121" s="264" t="str">
        <f>MID(Tabelle2[[#This Row],[bnr full]],5,3)</f>
        <v>145</v>
      </c>
      <c r="AH121" s="265" t="str">
        <f>MID(Tabelle2[[#This Row],[bnr full]],8,3)</f>
        <v>216</v>
      </c>
      <c r="AI121" s="264" t="str">
        <f>MID(Tabelle2[[#This Row],[bnr full]],11,3)</f>
        <v>201</v>
      </c>
      <c r="AJ121" s="252" t="str">
        <f>MID(Tabelle2[[#This Row],[bnr full]],11,3)</f>
        <v>201</v>
      </c>
      <c r="AK121" s="197" t="s">
        <v>788</v>
      </c>
      <c r="AL121" s="124" t="str">
        <f ca="1">Sprache!$A$112</f>
        <v>Правый</v>
      </c>
      <c r="AM121" s="187" t="str">
        <f ca="1">Sprache!$A$133</f>
        <v>1 коленчатый подъемник</v>
      </c>
      <c r="AN121" s="187" t="str">
        <f ca="1">Sprache!$A$125</f>
        <v>Пружина, стандарт</v>
      </c>
      <c r="AO121" s="187" t="str">
        <f ca="1">Sprache!$A$148</f>
        <v>Коленчатый подъемник Kinvaro T-105, правый</v>
      </c>
      <c r="AP121" s="187" t="s">
        <v>819</v>
      </c>
      <c r="AQ121" s="187">
        <f>Limits!$K$9</f>
        <v>200</v>
      </c>
      <c r="AR121" s="124">
        <v>1200</v>
      </c>
      <c r="AS121" s="187" t="str">
        <f ca="1">CONCATENATE("TIOMOS 110° ",Sprache!$A$150)</f>
        <v>TIOMOS 110° Шарнир для алюминиевой рамки</v>
      </c>
      <c r="AT121" s="187" t="str">
        <f ca="1">CONCATENATE("1D° ",Sprache!$A$149)</f>
        <v>1D° Монтажная плита</v>
      </c>
    </row>
    <row r="122" spans="1:55" hidden="1" x14ac:dyDescent="0.25">
      <c r="A122" s="12" t="str">
        <f ca="1">IF(F122+G122+H122+I122+J122+D122+E122=3,IF(Tabelle2[[#This Row],[Kappe Weiß]]=Limits!$R$29,1,""),"")</f>
        <v/>
      </c>
      <c r="B122" s="12" t="str">
        <f ca="1">IF(G122+H122+I122+J122+E122+F122=2,IF(Tabelle2[[#This Row],[Kappe Weiß]]=Limits!$R$29,1,""),"")</f>
        <v/>
      </c>
      <c r="C122" s="291">
        <v>0</v>
      </c>
      <c r="D122" s="171">
        <f>IF(Limits!$P$12=TRUE,1,0)</f>
        <v>0</v>
      </c>
      <c r="E122" s="172">
        <f>IF(Daten!$P122+Daten!$Q122+Daten!$S122=3,1,0)</f>
        <v>0</v>
      </c>
      <c r="F122" s="173">
        <f ca="1">IF(AND(Limits!$Q$21=TRUE,Daten!O122=1)=TRUE,1,0)</f>
        <v>1</v>
      </c>
      <c r="G122" s="174">
        <f ca="1">IF(AND(Limits!$Q$25=TRUE,Daten!N122=1)=TRUE,1,0)</f>
        <v>0</v>
      </c>
      <c r="H122" s="174">
        <f ca="1">IF(AND(Limits!$Q$24=TRUE,Daten!M122=1)=TRUE,1,0)</f>
        <v>0</v>
      </c>
      <c r="I122" s="174">
        <f ca="1">IF(AND(Limits!$Q$23=TRUE,Daten!L122=1)=TRUE,1,0)</f>
        <v>0</v>
      </c>
      <c r="J122" s="174">
        <f ca="1">IF(AND(Limits!$Q$22=TRUE,Daten!K122=1)=TRUE,1,0)</f>
        <v>0</v>
      </c>
      <c r="K122" s="188">
        <f ca="1">IF(Daten!$V122=13,1,0)</f>
        <v>0</v>
      </c>
      <c r="L122" s="189">
        <f ca="1">IF(Daten!$V122&lt;&gt;Daten!$W122,1,IF(Daten!$V122=14,1,0))</f>
        <v>0</v>
      </c>
      <c r="M122" s="189">
        <f ca="1">IF(Daten!$V122&lt;&gt;Daten!$W122,1,IF(Daten!$V122=16,1,0))</f>
        <v>0</v>
      </c>
      <c r="N122" s="189">
        <f ca="1">IF(Daten!$W122=17,1,0)</f>
        <v>0</v>
      </c>
      <c r="O122" s="190">
        <f ca="1">IF(Daten!$X122=Sprache!$A$70,1,0)</f>
        <v>1</v>
      </c>
      <c r="P122" s="191">
        <f>IF(AND(Daten!$AQ122&lt;=KINVARO!$AW$3,Daten!$AR122&gt;=KINVARO!$AW$3)=TRUE,1,0)</f>
        <v>1</v>
      </c>
      <c r="Q122" s="192">
        <f>IF(AND(Daten!$AA122&lt;=KINVARO!$AW$4,Daten!$AB122&gt;=KINVARO!$AW$4)=TRUE,1,0)</f>
        <v>0</v>
      </c>
      <c r="R122" s="192"/>
      <c r="S122" s="192">
        <f>IF(AND(Daten!$AD122&lt;=Limits!$I$70,Daten!$AE122&gt;=Limits!$I$70)=TRUE,1,0)</f>
        <v>0</v>
      </c>
      <c r="T122" s="193">
        <f ca="1">IF(Daten!$Y122=Sprache!$A$135,1,0)</f>
        <v>0</v>
      </c>
      <c r="U122" s="124" t="str">
        <f ca="1">Sprache!$A$62</f>
        <v>T-105 Коленчатый подъемник</v>
      </c>
      <c r="V122" s="194" t="str">
        <f ca="1">Sprache!$A$74</f>
        <v>var</v>
      </c>
      <c r="W122" s="193" t="str">
        <f ca="1">Sprache!$A$74</f>
        <v>var</v>
      </c>
      <c r="X122" s="187" t="str">
        <f ca="1">Sprache!$A$70</f>
        <v>соединение с древесиной</v>
      </c>
      <c r="Y122" s="187" t="str">
        <f ca="1">Sprache!$A$136</f>
        <v>nein</v>
      </c>
      <c r="Z122" s="187" t="str">
        <f ca="1">Sprache!$A$79</f>
        <v>Створка</v>
      </c>
      <c r="AA122" s="187">
        <v>300</v>
      </c>
      <c r="AB122" s="124">
        <v>349</v>
      </c>
      <c r="AC122" s="187"/>
      <c r="AD122" s="195">
        <v>3.2</v>
      </c>
      <c r="AE122" s="196">
        <v>8.6</v>
      </c>
      <c r="AF122" s="263" t="str">
        <f>MID(Tabelle2[[#This Row],[bnr full]],1,4)</f>
        <v>F151</v>
      </c>
      <c r="AG122" s="264" t="str">
        <f>MID(Tabelle2[[#This Row],[bnr full]],5,3)</f>
        <v>145</v>
      </c>
      <c r="AH122" s="265" t="str">
        <f>MID(Tabelle2[[#This Row],[bnr full]],8,3)</f>
        <v>220</v>
      </c>
      <c r="AI122" s="264" t="str">
        <f>MID(Tabelle2[[#This Row],[bnr full]],11,3)</f>
        <v>201</v>
      </c>
      <c r="AJ122" s="252" t="str">
        <f>MID(Tabelle2[[#This Row],[bnr full]],11,3)</f>
        <v>201</v>
      </c>
      <c r="AK122" s="197" t="s">
        <v>785</v>
      </c>
      <c r="AL122" s="124" t="str">
        <f ca="1">Sprache!$A$112</f>
        <v>Правый</v>
      </c>
      <c r="AM122" s="187" t="str">
        <f ca="1">Sprache!$A$134</f>
        <v>2 коленчатых подъемника</v>
      </c>
      <c r="AN122" s="187" t="str">
        <f ca="1">Sprache!$A$125</f>
        <v>Пружина, стандарт</v>
      </c>
      <c r="AO122" s="187" t="str">
        <f ca="1">Sprache!$A$148</f>
        <v>Коленчатый подъемник Kinvaro T-105, правый</v>
      </c>
      <c r="AP122" s="187" t="s">
        <v>816</v>
      </c>
      <c r="AQ122" s="187">
        <f>Limits!$K$9</f>
        <v>200</v>
      </c>
      <c r="AR122" s="124">
        <v>1200</v>
      </c>
      <c r="AS122" s="187" t="str">
        <f ca="1">CONCATENATE("TIOMOS 110° ",Sprache!$A$98)</f>
        <v>TIOMOS 110° Шарнир</v>
      </c>
      <c r="AT122" s="187" t="str">
        <f ca="1">CONCATENATE("1D° ",Sprache!$A$149)</f>
        <v>1D° Монтажная плита</v>
      </c>
      <c r="AU122"/>
      <c r="AV122"/>
      <c r="AY122"/>
      <c r="AZ122"/>
      <c r="BA122"/>
      <c r="BB122"/>
      <c r="BC122"/>
    </row>
    <row r="123" spans="1:55" hidden="1" x14ac:dyDescent="0.25">
      <c r="A123" s="12" t="str">
        <f ca="1">IF(F123+G123+H123+I123+J123+D123+E123=3,IF(Tabelle2[[#This Row],[Kappe Weiß]]=Limits!$R$29,1,""),"")</f>
        <v/>
      </c>
      <c r="B123" s="12" t="str">
        <f ca="1">IF(G123+H123+I123+J123+E123+F123=2,IF(Tabelle2[[#This Row],[Kappe Weiß]]=Limits!$R$29,1,""),"")</f>
        <v/>
      </c>
      <c r="C123" s="291">
        <v>0</v>
      </c>
      <c r="D123" s="171">
        <f>IF(Limits!$P$12=TRUE,1,0)</f>
        <v>0</v>
      </c>
      <c r="E123" s="172">
        <f>IF(Daten!$P123+Daten!$Q123+Daten!$S123=3,1,0)</f>
        <v>0</v>
      </c>
      <c r="F123" s="173">
        <f ca="1">IF(AND(Limits!$Q$21=TRUE,Daten!O123=1)=TRUE,1,0)</f>
        <v>1</v>
      </c>
      <c r="G123" s="174">
        <f ca="1">IF(AND(Limits!$Q$25=TRUE,Daten!N123=1)=TRUE,1,0)</f>
        <v>0</v>
      </c>
      <c r="H123" s="174">
        <f ca="1">IF(AND(Limits!$Q$24=TRUE,Daten!M123=1)=TRUE,1,0)</f>
        <v>0</v>
      </c>
      <c r="I123" s="174">
        <f ca="1">IF(AND(Limits!$Q$23=TRUE,Daten!L123=1)=TRUE,1,0)</f>
        <v>0</v>
      </c>
      <c r="J123" s="174">
        <f ca="1">IF(AND(Limits!$Q$22=TRUE,Daten!K123=1)=TRUE,1,0)</f>
        <v>0</v>
      </c>
      <c r="K123" s="188">
        <f ca="1">IF(Daten!$V123=13,1,0)</f>
        <v>0</v>
      </c>
      <c r="L123" s="189">
        <f ca="1">IF(Daten!$V123&lt;&gt;Daten!$W123,1,IF(Daten!$V123=14,1,0))</f>
        <v>0</v>
      </c>
      <c r="M123" s="189">
        <f ca="1">IF(Daten!$V123&lt;&gt;Daten!$W123,1,IF(Daten!$V123=16,1,0))</f>
        <v>0</v>
      </c>
      <c r="N123" s="189">
        <f ca="1">IF(Daten!$W123=17,1,0)</f>
        <v>0</v>
      </c>
      <c r="O123" s="190">
        <f ca="1">IF(Daten!$X123=Sprache!$A$70,1,0)</f>
        <v>1</v>
      </c>
      <c r="P123" s="191">
        <f>IF(AND(Daten!$AQ123&lt;=KINVARO!$AW$3,Daten!$AR123&gt;=KINVARO!$AW$3)=TRUE,1,0)</f>
        <v>1</v>
      </c>
      <c r="Q123" s="192">
        <f>IF(AND(Daten!$AA123&lt;=KINVARO!$AW$4,Daten!$AB123&gt;=KINVARO!$AW$4)=TRUE,1,0)</f>
        <v>0</v>
      </c>
      <c r="R123" s="192"/>
      <c r="S123" s="192">
        <f>IF(AND(Daten!$AD123&lt;=Limits!$I$70,Daten!$AE123&gt;=Limits!$I$70)=TRUE,1,0)</f>
        <v>1</v>
      </c>
      <c r="T123" s="193">
        <f ca="1">IF(Daten!$Y123=Sprache!$A$135,1,0)</f>
        <v>0</v>
      </c>
      <c r="U123" s="124" t="str">
        <f ca="1">Sprache!$A$62</f>
        <v>T-105 Коленчатый подъемник</v>
      </c>
      <c r="V123" s="194" t="str">
        <f ca="1">Sprache!$A$74</f>
        <v>var</v>
      </c>
      <c r="W123" s="193" t="str">
        <f ca="1">Sprache!$A$74</f>
        <v>var</v>
      </c>
      <c r="X123" s="187" t="str">
        <f ca="1">Sprache!$A$70</f>
        <v>соединение с древесиной</v>
      </c>
      <c r="Y123" s="187" t="str">
        <f ca="1">Sprache!$A$136</f>
        <v>nein</v>
      </c>
      <c r="Z123" s="187" t="str">
        <f ca="1">Sprache!$A$79</f>
        <v>Створка</v>
      </c>
      <c r="AA123" s="187">
        <v>300</v>
      </c>
      <c r="AB123" s="124">
        <v>349</v>
      </c>
      <c r="AC123" s="187"/>
      <c r="AD123" s="195">
        <v>5.5</v>
      </c>
      <c r="AE123" s="196">
        <v>10.4</v>
      </c>
      <c r="AF123" s="263" t="str">
        <f>MID(Tabelle2[[#This Row],[bnr full]],1,4)</f>
        <v>F151</v>
      </c>
      <c r="AG123" s="264" t="str">
        <f>MID(Tabelle2[[#This Row],[bnr full]],5,3)</f>
        <v>145</v>
      </c>
      <c r="AH123" s="265" t="str">
        <f>MID(Tabelle2[[#This Row],[bnr full]],8,3)</f>
        <v>218</v>
      </c>
      <c r="AI123" s="264" t="str">
        <f>MID(Tabelle2[[#This Row],[bnr full]],11,3)</f>
        <v>201</v>
      </c>
      <c r="AJ123" s="252" t="str">
        <f>MID(Tabelle2[[#This Row],[bnr full]],11,3)</f>
        <v>201</v>
      </c>
      <c r="AK123" s="197" t="s">
        <v>786</v>
      </c>
      <c r="AL123" s="124" t="str">
        <f ca="1">Sprache!$A$112</f>
        <v>Правый</v>
      </c>
      <c r="AM123" s="187" t="str">
        <f ca="1">Sprache!$A$134</f>
        <v>2 коленчатых подъемника</v>
      </c>
      <c r="AN123" s="187" t="str">
        <f ca="1">Sprache!$A$126</f>
        <v>Пружина, черная</v>
      </c>
      <c r="AO123" s="187" t="str">
        <f ca="1">Sprache!$A$148</f>
        <v>Коленчатый подъемник Kinvaro T-105, правый</v>
      </c>
      <c r="AP123" s="187" t="s">
        <v>817</v>
      </c>
      <c r="AQ123" s="187">
        <f>Limits!$K$9</f>
        <v>200</v>
      </c>
      <c r="AR123" s="124">
        <v>1200</v>
      </c>
      <c r="AS123" s="187" t="str">
        <f ca="1">CONCATENATE("TIOMOS 110° ",Sprache!$A$98)</f>
        <v>TIOMOS 110° Шарнир</v>
      </c>
      <c r="AT123" s="187" t="str">
        <f ca="1">CONCATENATE("1D° ",Sprache!$A$149)</f>
        <v>1D° Монтажная плита</v>
      </c>
      <c r="AU123"/>
      <c r="AV123"/>
      <c r="AY123"/>
      <c r="AZ123"/>
      <c r="BA123"/>
      <c r="BB123"/>
      <c r="BC123"/>
    </row>
    <row r="124" spans="1:55" s="8" customFormat="1" ht="15.75" hidden="1" thickBot="1" x14ac:dyDescent="0.3">
      <c r="A124" s="12" t="str">
        <f ca="1">IF(F124+G124+H124+I124+J124+D124+E124=3,IF(Tabelle2[[#This Row],[Kappe Weiß]]=Limits!$R$29,1,""),"")</f>
        <v/>
      </c>
      <c r="B124" s="12" t="str">
        <f ca="1">IF(G124+H124+I124+J124+E124+F124=2,IF(Tabelle2[[#This Row],[Kappe Weiß]]=Limits!$R$29,1,""),"")</f>
        <v/>
      </c>
      <c r="C124" s="291">
        <v>0</v>
      </c>
      <c r="D124" s="171">
        <f>IF(Limits!$P$12=TRUE,1,0)</f>
        <v>0</v>
      </c>
      <c r="E124" s="172">
        <f>IF(Daten!$P124+Daten!$Q124+Daten!$S124=3,1,0)</f>
        <v>0</v>
      </c>
      <c r="F124" s="173">
        <f ca="1">IF(AND(Limits!$Q$21=TRUE,Daten!O124=1)=TRUE,1,0)</f>
        <v>0</v>
      </c>
      <c r="G124" s="174">
        <f>IF(AND(Limits!$Q$25=TRUE,Daten!N124=1)=TRUE,1,0)</f>
        <v>0</v>
      </c>
      <c r="H124" s="174">
        <f>IF(AND(Limits!$Q$24=TRUE,Daten!M124=1)=TRUE,1,0)</f>
        <v>0</v>
      </c>
      <c r="I124" s="174">
        <f>IF(AND(Limits!$Q$23=TRUE,Daten!L124=1)=TRUE,1,0)</f>
        <v>0</v>
      </c>
      <c r="J124" s="174">
        <f>IF(AND(Limits!$Q$22=TRUE,Daten!K124=1)=TRUE,1,0)</f>
        <v>0</v>
      </c>
      <c r="K124" s="188">
        <f>IF(Daten!$V124=13,1,0)</f>
        <v>0</v>
      </c>
      <c r="L124" s="189">
        <f>IF(Daten!$V124&lt;&gt;Daten!$W124,1,IF(Daten!$V124=14,1,0))</f>
        <v>1</v>
      </c>
      <c r="M124" s="189">
        <f>IF(Daten!$V124&lt;&gt;Daten!$W124,1,IF(Daten!$V124=16,1,0))</f>
        <v>0</v>
      </c>
      <c r="N124" s="189">
        <f>IF(Daten!$W124=17,1,0)</f>
        <v>0</v>
      </c>
      <c r="O124" s="190">
        <f ca="1">IF(Daten!$X124=Sprache!$A$70,1,0)</f>
        <v>0</v>
      </c>
      <c r="P124" s="191">
        <f>IF(AND(Daten!$AQ124&lt;=KINVARO!$AW$3,Daten!$AR124&gt;=KINVARO!$AW$3)=TRUE,1,0)</f>
        <v>1</v>
      </c>
      <c r="Q124" s="192">
        <f>IF(AND(Daten!$AA124&lt;=KINVARO!$AW$4,Daten!$AB124&gt;=KINVARO!$AW$4)=TRUE,1,0)</f>
        <v>0</v>
      </c>
      <c r="R124" s="192"/>
      <c r="S124" s="192">
        <f>IF(AND(Daten!$AD124&lt;=Limits!$I$70,Daten!$AE124&gt;=Limits!$I$70)=TRUE,1,0)</f>
        <v>0</v>
      </c>
      <c r="T124" s="193">
        <f ca="1">IF(Daten!$Y124=Sprache!$A$135,1,0)</f>
        <v>0</v>
      </c>
      <c r="U124" s="124" t="str">
        <f ca="1">Sprache!$A$62</f>
        <v>T-105 Коленчатый подъемник</v>
      </c>
      <c r="V124" s="194">
        <v>14</v>
      </c>
      <c r="W124" s="193">
        <v>14</v>
      </c>
      <c r="X124" s="187" t="str">
        <f ca="1">Sprache!$A$141</f>
        <v>Alu</v>
      </c>
      <c r="Y124" s="187" t="str">
        <f ca="1">Sprache!$A$136</f>
        <v>nein</v>
      </c>
      <c r="Z124" s="187" t="str">
        <f ca="1">Sprache!$A$79</f>
        <v>Створка</v>
      </c>
      <c r="AA124" s="187">
        <v>300</v>
      </c>
      <c r="AB124" s="124">
        <v>349</v>
      </c>
      <c r="AC124" s="187"/>
      <c r="AD124" s="195">
        <v>3.2</v>
      </c>
      <c r="AE124" s="196">
        <v>8.6</v>
      </c>
      <c r="AF124" s="263" t="str">
        <f>MID(Tabelle2[[#This Row],[bnr full]],1,4)</f>
        <v>F151</v>
      </c>
      <c r="AG124" s="264" t="str">
        <f>MID(Tabelle2[[#This Row],[bnr full]],5,3)</f>
        <v>145</v>
      </c>
      <c r="AH124" s="265" t="str">
        <f>MID(Tabelle2[[#This Row],[bnr full]],8,3)</f>
        <v>214</v>
      </c>
      <c r="AI124" s="264" t="str">
        <f>MID(Tabelle2[[#This Row],[bnr full]],11,3)</f>
        <v>201</v>
      </c>
      <c r="AJ124" s="252" t="str">
        <f>MID(Tabelle2[[#This Row],[bnr full]],11,3)</f>
        <v>201</v>
      </c>
      <c r="AK124" s="197" t="s">
        <v>787</v>
      </c>
      <c r="AL124" s="124" t="str">
        <f ca="1">Sprache!$A$112</f>
        <v>Правый</v>
      </c>
      <c r="AM124" s="187" t="str">
        <f ca="1">Sprache!$A$134</f>
        <v>2 коленчатых подъемника</v>
      </c>
      <c r="AN124" s="187" t="str">
        <f ca="1">Sprache!$A$125</f>
        <v>Пружина, стандарт</v>
      </c>
      <c r="AO124" s="187" t="str">
        <f ca="1">Sprache!$A$148</f>
        <v>Коленчатый подъемник Kinvaro T-105, правый</v>
      </c>
      <c r="AP124" s="187" t="s">
        <v>818</v>
      </c>
      <c r="AQ124" s="187">
        <f>Limits!$K$9</f>
        <v>200</v>
      </c>
      <c r="AR124" s="124">
        <v>1200</v>
      </c>
      <c r="AS124" s="187" t="str">
        <f ca="1">CONCATENATE("TIOMOS 110° ",Sprache!$A$150)</f>
        <v>TIOMOS 110° Шарнир для алюминиевой рамки</v>
      </c>
      <c r="AT124" s="187" t="str">
        <f ca="1">CONCATENATE("1D° ",Sprache!$A$149)</f>
        <v>1D° Монтажная плита</v>
      </c>
    </row>
    <row r="125" spans="1:55" hidden="1" x14ac:dyDescent="0.25">
      <c r="A125" s="12" t="str">
        <f ca="1">IF(F125+G125+H125+I125+J125+D125+E125=3,IF(Tabelle2[[#This Row],[Kappe Weiß]]=Limits!$R$29,1,""),"")</f>
        <v/>
      </c>
      <c r="B125" s="12" t="str">
        <f ca="1">IF(G125+H125+I125+J125+E125+F125=2,IF(Tabelle2[[#This Row],[Kappe Weiß]]=Limits!$R$29,1,""),"")</f>
        <v/>
      </c>
      <c r="C125" s="291">
        <v>0</v>
      </c>
      <c r="D125" s="171">
        <f>IF(Limits!$P$12=TRUE,1,0)</f>
        <v>0</v>
      </c>
      <c r="E125" s="172">
        <f>IF(Daten!$P125+Daten!$Q125+Daten!$S125=3,1,0)</f>
        <v>0</v>
      </c>
      <c r="F125" s="173">
        <f ca="1">IF(AND(Limits!$Q$21=TRUE,Daten!O125=1)=TRUE,1,0)</f>
        <v>0</v>
      </c>
      <c r="G125" s="174">
        <f>IF(AND(Limits!$Q$25=TRUE,Daten!N125=1)=TRUE,1,0)</f>
        <v>0</v>
      </c>
      <c r="H125" s="174">
        <f>IF(AND(Limits!$Q$24=TRUE,Daten!M125=1)=TRUE,1,0)</f>
        <v>0</v>
      </c>
      <c r="I125" s="174">
        <f>IF(AND(Limits!$Q$23=TRUE,Daten!L125=1)=TRUE,1,0)</f>
        <v>0</v>
      </c>
      <c r="J125" s="174">
        <f>IF(AND(Limits!$Q$22=TRUE,Daten!K125=1)=TRUE,1,0)</f>
        <v>0</v>
      </c>
      <c r="K125" s="188">
        <f>IF(Daten!$V125=13,1,0)</f>
        <v>0</v>
      </c>
      <c r="L125" s="189">
        <f>IF(Daten!$V125&lt;&gt;Daten!$W125,1,IF(Daten!$V125=14,1,0))</f>
        <v>0</v>
      </c>
      <c r="M125" s="189">
        <f>IF(Daten!$V125&lt;&gt;Daten!$W125,1,IF(Daten!$V125=16,1,0))</f>
        <v>1</v>
      </c>
      <c r="N125" s="189">
        <f>IF(Daten!$W125=17,1,0)</f>
        <v>0</v>
      </c>
      <c r="O125" s="190">
        <f ca="1">IF(Daten!$X125=Sprache!$A$70,1,0)</f>
        <v>0</v>
      </c>
      <c r="P125" s="191">
        <f>IF(AND(Daten!$AQ125&lt;=KINVARO!$AW$3,Daten!$AR125&gt;=KINVARO!$AW$3)=TRUE,1,0)</f>
        <v>1</v>
      </c>
      <c r="Q125" s="192">
        <f>IF(AND(Daten!$AA125&lt;=KINVARO!$AW$4,Daten!$AB125&gt;=KINVARO!$AW$4)=TRUE,1,0)</f>
        <v>0</v>
      </c>
      <c r="R125" s="192"/>
      <c r="S125" s="192">
        <f>IF(AND(Daten!$AD125&lt;=Limits!$I$70,Daten!$AE125&gt;=Limits!$I$70)=TRUE,1,0)</f>
        <v>0</v>
      </c>
      <c r="T125" s="193">
        <f ca="1">IF(Daten!$Y125=Sprache!$A$135,1,0)</f>
        <v>0</v>
      </c>
      <c r="U125" s="124" t="str">
        <f ca="1">Sprache!$A$62</f>
        <v>T-105 Коленчатый подъемник</v>
      </c>
      <c r="V125" s="194">
        <v>16</v>
      </c>
      <c r="W125" s="193">
        <v>16</v>
      </c>
      <c r="X125" s="187" t="str">
        <f ca="1">Sprache!$A$141</f>
        <v>Alu</v>
      </c>
      <c r="Y125" s="187" t="str">
        <f ca="1">Sprache!$A$136</f>
        <v>nein</v>
      </c>
      <c r="Z125" s="187" t="str">
        <f ca="1">Sprache!$A$79</f>
        <v>Створка</v>
      </c>
      <c r="AA125" s="187">
        <v>300</v>
      </c>
      <c r="AB125" s="124">
        <v>349</v>
      </c>
      <c r="AC125" s="187"/>
      <c r="AD125" s="195">
        <v>3.2</v>
      </c>
      <c r="AE125" s="196">
        <v>8.6</v>
      </c>
      <c r="AF125" s="263" t="str">
        <f>MID(Tabelle2[[#This Row],[bnr full]],1,4)</f>
        <v>F151</v>
      </c>
      <c r="AG125" s="264" t="str">
        <f>MID(Tabelle2[[#This Row],[bnr full]],5,3)</f>
        <v>145</v>
      </c>
      <c r="AH125" s="265" t="str">
        <f>MID(Tabelle2[[#This Row],[bnr full]],8,3)</f>
        <v>216</v>
      </c>
      <c r="AI125" s="264" t="str">
        <f>MID(Tabelle2[[#This Row],[bnr full]],11,3)</f>
        <v>201</v>
      </c>
      <c r="AJ125" s="252" t="str">
        <f>MID(Tabelle2[[#This Row],[bnr full]],11,3)</f>
        <v>201</v>
      </c>
      <c r="AK125" s="197" t="s">
        <v>788</v>
      </c>
      <c r="AL125" s="124" t="str">
        <f ca="1">Sprache!$A$112</f>
        <v>Правый</v>
      </c>
      <c r="AM125" s="187" t="str">
        <f ca="1">Sprache!$A$134</f>
        <v>2 коленчатых подъемника</v>
      </c>
      <c r="AN125" s="187" t="str">
        <f ca="1">Sprache!$A$125</f>
        <v>Пружина, стандарт</v>
      </c>
      <c r="AO125" s="187" t="str">
        <f ca="1">Sprache!$A$148</f>
        <v>Коленчатый подъемник Kinvaro T-105, правый</v>
      </c>
      <c r="AP125" s="187" t="s">
        <v>819</v>
      </c>
      <c r="AQ125" s="187">
        <f>Limits!$K$9</f>
        <v>200</v>
      </c>
      <c r="AR125" s="124">
        <v>1200</v>
      </c>
      <c r="AS125" s="187" t="str">
        <f ca="1">CONCATENATE("TIOMOS 110° ",Sprache!$A$150)</f>
        <v>TIOMOS 110° Шарнир для алюминиевой рамки</v>
      </c>
      <c r="AT125" s="187" t="str">
        <f ca="1">CONCATENATE("1D° ",Sprache!$A$149)</f>
        <v>1D° Монтажная плита</v>
      </c>
      <c r="AU125"/>
      <c r="AV125"/>
      <c r="AY125"/>
      <c r="AZ125"/>
      <c r="BA125"/>
      <c r="BB125"/>
      <c r="BC125"/>
    </row>
    <row r="126" spans="1:55" s="5" customFormat="1" hidden="1" x14ac:dyDescent="0.25">
      <c r="A126" s="12" t="str">
        <f ca="1">IF(F126+G126+H126+I126+J126+D126+E126=3,IF(Tabelle2[[#This Row],[Kappe Weiß]]=Limits!$R$29,1,""),"")</f>
        <v/>
      </c>
      <c r="B126" s="12" t="str">
        <f ca="1">IF(G126+H126+I126+J126+E126+F126=2,IF(Tabelle2[[#This Row],[Kappe Weiß]]=Limits!$R$29,1,""),"")</f>
        <v/>
      </c>
      <c r="C126" s="292">
        <v>0</v>
      </c>
      <c r="D126" s="171">
        <f>IF(Limits!$P$12=TRUE,1,0)</f>
        <v>0</v>
      </c>
      <c r="E126" s="172">
        <f>IF(Daten!$P126+Daten!$Q126+Daten!$S126=3,1,0)</f>
        <v>0</v>
      </c>
      <c r="F126" s="173">
        <f ca="1">IF(AND(Limits!$Q$21=TRUE,Daten!O126=1)=TRUE,1,0)</f>
        <v>1</v>
      </c>
      <c r="G126" s="174">
        <f ca="1">IF(AND(Limits!$Q$25=TRUE,Daten!N126=1)=TRUE,1,0)</f>
        <v>0</v>
      </c>
      <c r="H126" s="174">
        <f ca="1">IF(AND(Limits!$Q$24=TRUE,Daten!M126=1)=TRUE,1,0)</f>
        <v>0</v>
      </c>
      <c r="I126" s="174">
        <f ca="1">IF(AND(Limits!$Q$23=TRUE,Daten!L126=1)=TRUE,1,0)</f>
        <v>0</v>
      </c>
      <c r="J126" s="174">
        <f ca="1">IF(AND(Limits!$Q$22=TRUE,Daten!K126=1)=TRUE,1,0)</f>
        <v>0</v>
      </c>
      <c r="K126" s="188">
        <f ca="1">IF(Daten!$V126=13,1,0)</f>
        <v>0</v>
      </c>
      <c r="L126" s="189">
        <f ca="1">IF(Daten!$V126&lt;&gt;Daten!$W126,1,IF(Daten!$V126=14,1,0))</f>
        <v>0</v>
      </c>
      <c r="M126" s="189">
        <f ca="1">IF(Daten!$V126&lt;&gt;Daten!$W126,1,IF(Daten!$V126=16,1,0))</f>
        <v>0</v>
      </c>
      <c r="N126" s="189">
        <f ca="1">IF(Daten!$W126=17,1,0)</f>
        <v>0</v>
      </c>
      <c r="O126" s="190">
        <f ca="1">IF(Daten!$X126=Sprache!$A$70,1,0)</f>
        <v>1</v>
      </c>
      <c r="P126" s="198">
        <f>IF(AND(Daten!$AQ126&lt;=KINVARO!$AW$3,Daten!$AR126&gt;=KINVARO!$AW$3)=TRUE,1,0)</f>
        <v>1</v>
      </c>
      <c r="Q126" s="199">
        <f>IF(AND(Daten!$AA126&lt;=KINVARO!$AW$4,Daten!$AB126&gt;=KINVARO!$AW$4)=TRUE,1,0)</f>
        <v>0</v>
      </c>
      <c r="R126" s="199"/>
      <c r="S126" s="199">
        <f>IF(AND(Daten!$AD126&lt;=Limits!$I$70,Daten!$AE126&gt;=Limits!$I$70)=TRUE,1,0)</f>
        <v>0</v>
      </c>
      <c r="T126" s="200">
        <f ca="1">IF(Daten!$Y126=Sprache!$A$135,1,0)</f>
        <v>0</v>
      </c>
      <c r="U126" s="201" t="str">
        <f ca="1">Sprache!$A$62</f>
        <v>T-105 Коленчатый подъемник</v>
      </c>
      <c r="V126" s="202" t="str">
        <f ca="1">Sprache!$A$74</f>
        <v>var</v>
      </c>
      <c r="W126" s="200" t="str">
        <f ca="1">Sprache!$A$74</f>
        <v>var</v>
      </c>
      <c r="X126" s="203" t="str">
        <f ca="1">Sprache!$A$70</f>
        <v>соединение с древесиной</v>
      </c>
      <c r="Y126" s="187" t="str">
        <f ca="1">Sprache!$A$136</f>
        <v>nein</v>
      </c>
      <c r="Z126" s="203" t="str">
        <f ca="1">Sprache!$A$79</f>
        <v>Створка</v>
      </c>
      <c r="AA126" s="203">
        <v>350</v>
      </c>
      <c r="AB126" s="201">
        <v>399</v>
      </c>
      <c r="AC126" s="203"/>
      <c r="AD126" s="204">
        <v>1.3</v>
      </c>
      <c r="AE126" s="205">
        <v>4.0999999999999996</v>
      </c>
      <c r="AF126" s="266" t="str">
        <f>MID(Tabelle2[[#This Row],[bnr full]],1,4)</f>
        <v>F151</v>
      </c>
      <c r="AG126" s="267" t="str">
        <f>MID(Tabelle2[[#This Row],[bnr full]],5,3)</f>
        <v>145</v>
      </c>
      <c r="AH126" s="268" t="str">
        <f>MID(Tabelle2[[#This Row],[bnr full]],8,3)</f>
        <v>220</v>
      </c>
      <c r="AI126" s="267" t="str">
        <f>MID(Tabelle2[[#This Row],[bnr full]],11,3)</f>
        <v>201</v>
      </c>
      <c r="AJ126" s="253" t="str">
        <f>MID(Tabelle2[[#This Row],[bnr full]],11,3)</f>
        <v>201</v>
      </c>
      <c r="AK126" s="206" t="s">
        <v>785</v>
      </c>
      <c r="AL126" s="201" t="str">
        <f ca="1">Sprache!$A$112</f>
        <v>Правый</v>
      </c>
      <c r="AM126" s="203" t="str">
        <f ca="1">Sprache!$A$133</f>
        <v>1 коленчатый подъемник</v>
      </c>
      <c r="AN126" s="203" t="str">
        <f ca="1">Sprache!$A$125</f>
        <v>Пружина, стандарт</v>
      </c>
      <c r="AO126" s="203" t="str">
        <f ca="1">Sprache!$A$148</f>
        <v>Коленчатый подъемник Kinvaro T-105, правый</v>
      </c>
      <c r="AP126" s="203" t="s">
        <v>816</v>
      </c>
      <c r="AQ126" s="203">
        <f>Limits!$K$9</f>
        <v>200</v>
      </c>
      <c r="AR126" s="201">
        <v>1200</v>
      </c>
      <c r="AS126" s="187" t="str">
        <f ca="1">CONCATENATE("TIOMOS 110° ",Sprache!$A$98)</f>
        <v>TIOMOS 110° Шарнир</v>
      </c>
      <c r="AT126" s="187" t="str">
        <f ca="1">CONCATENATE("1D° ",Sprache!$A$149)</f>
        <v>1D° Монтажная плита</v>
      </c>
    </row>
    <row r="127" spans="1:55" hidden="1" x14ac:dyDescent="0.25">
      <c r="A127" s="12" t="str">
        <f ca="1">IF(F127+G127+H127+I127+J127+D127+E127=3,IF(Tabelle2[[#This Row],[Kappe Weiß]]=Limits!$R$29,1,""),"")</f>
        <v/>
      </c>
      <c r="B127" s="12" t="str">
        <f ca="1">IF(G127+H127+I127+J127+E127+F127=2,IF(Tabelle2[[#This Row],[Kappe Weiß]]=Limits!$R$29,1,""),"")</f>
        <v/>
      </c>
      <c r="C127" s="291">
        <v>0</v>
      </c>
      <c r="D127" s="171">
        <f>IF(Limits!$P$12=TRUE,1,0)</f>
        <v>0</v>
      </c>
      <c r="E127" s="172">
        <f>IF(Daten!$P127+Daten!$Q127+Daten!$S127=3,1,0)</f>
        <v>0</v>
      </c>
      <c r="F127" s="173">
        <f ca="1">IF(AND(Limits!$Q$21=TRUE,Daten!O127=1)=TRUE,1,0)</f>
        <v>1</v>
      </c>
      <c r="G127" s="174">
        <f ca="1">IF(AND(Limits!$Q$25=TRUE,Daten!N127=1)=TRUE,1,0)</f>
        <v>0</v>
      </c>
      <c r="H127" s="174">
        <f ca="1">IF(AND(Limits!$Q$24=TRUE,Daten!M127=1)=TRUE,1,0)</f>
        <v>0</v>
      </c>
      <c r="I127" s="174">
        <f ca="1">IF(AND(Limits!$Q$23=TRUE,Daten!L127=1)=TRUE,1,0)</f>
        <v>0</v>
      </c>
      <c r="J127" s="174">
        <f ca="1">IF(AND(Limits!$Q$22=TRUE,Daten!K127=1)=TRUE,1,0)</f>
        <v>0</v>
      </c>
      <c r="K127" s="188">
        <f ca="1">IF(Daten!$V127=13,1,0)</f>
        <v>0</v>
      </c>
      <c r="L127" s="189">
        <f ca="1">IF(Daten!$V127&lt;&gt;Daten!$W127,1,IF(Daten!$V127=14,1,0))</f>
        <v>0</v>
      </c>
      <c r="M127" s="189">
        <f ca="1">IF(Daten!$V127&lt;&gt;Daten!$W127,1,IF(Daten!$V127=16,1,0))</f>
        <v>0</v>
      </c>
      <c r="N127" s="189">
        <f ca="1">IF(Daten!$W127=17,1,0)</f>
        <v>0</v>
      </c>
      <c r="O127" s="190">
        <f ca="1">IF(Daten!$X127=Sprache!$A$70,1,0)</f>
        <v>1</v>
      </c>
      <c r="P127" s="191">
        <f>IF(AND(Daten!$AQ127&lt;=KINVARO!$AW$3,Daten!$AR127&gt;=KINVARO!$AW$3)=TRUE,1,0)</f>
        <v>1</v>
      </c>
      <c r="Q127" s="192">
        <f>IF(AND(Daten!$AA127&lt;=KINVARO!$AW$4,Daten!$AB127&gt;=KINVARO!$AW$4)=TRUE,1,0)</f>
        <v>0</v>
      </c>
      <c r="R127" s="192"/>
      <c r="S127" s="192">
        <f>IF(AND(Daten!$AD127&lt;=Limits!$I$70,Daten!$AE127&gt;=Limits!$I$70)=TRUE,1,0)</f>
        <v>0</v>
      </c>
      <c r="T127" s="193">
        <f ca="1">IF(Daten!$Y127=Sprache!$A$135,1,0)</f>
        <v>0</v>
      </c>
      <c r="U127" s="124" t="str">
        <f ca="1">Sprache!$A$62</f>
        <v>T-105 Коленчатый подъемник</v>
      </c>
      <c r="V127" s="194" t="str">
        <f ca="1">Sprache!$A$74</f>
        <v>var</v>
      </c>
      <c r="W127" s="193" t="str">
        <f ca="1">Sprache!$A$74</f>
        <v>var</v>
      </c>
      <c r="X127" s="187" t="str">
        <f ca="1">Sprache!$A$70</f>
        <v>соединение с древесиной</v>
      </c>
      <c r="Y127" s="187" t="str">
        <f ca="1">Sprache!$A$136</f>
        <v>nein</v>
      </c>
      <c r="Z127" s="187" t="str">
        <f ca="1">Sprache!$A$79</f>
        <v>Створка</v>
      </c>
      <c r="AA127" s="187">
        <v>350</v>
      </c>
      <c r="AB127" s="124">
        <v>399</v>
      </c>
      <c r="AC127" s="187"/>
      <c r="AD127" s="195">
        <v>2.4</v>
      </c>
      <c r="AE127" s="196">
        <v>4.8</v>
      </c>
      <c r="AF127" s="263" t="str">
        <f>MID(Tabelle2[[#This Row],[bnr full]],1,4)</f>
        <v>F151</v>
      </c>
      <c r="AG127" s="264" t="str">
        <f>MID(Tabelle2[[#This Row],[bnr full]],5,3)</f>
        <v>145</v>
      </c>
      <c r="AH127" s="265" t="str">
        <f>MID(Tabelle2[[#This Row],[bnr full]],8,3)</f>
        <v>218</v>
      </c>
      <c r="AI127" s="264" t="str">
        <f>MID(Tabelle2[[#This Row],[bnr full]],11,3)</f>
        <v>201</v>
      </c>
      <c r="AJ127" s="252" t="str">
        <f>MID(Tabelle2[[#This Row],[bnr full]],11,3)</f>
        <v>201</v>
      </c>
      <c r="AK127" s="197" t="s">
        <v>786</v>
      </c>
      <c r="AL127" s="124" t="str">
        <f ca="1">Sprache!$A$112</f>
        <v>Правый</v>
      </c>
      <c r="AM127" s="187" t="str">
        <f ca="1">Sprache!$A$133</f>
        <v>1 коленчатый подъемник</v>
      </c>
      <c r="AN127" s="187" t="str">
        <f ca="1">Sprache!$A$126</f>
        <v>Пружина, черная</v>
      </c>
      <c r="AO127" s="187" t="str">
        <f ca="1">Sprache!$A$148</f>
        <v>Коленчатый подъемник Kinvaro T-105, правый</v>
      </c>
      <c r="AP127" s="187" t="s">
        <v>817</v>
      </c>
      <c r="AQ127" s="187">
        <f>Limits!$K$9</f>
        <v>200</v>
      </c>
      <c r="AR127" s="124">
        <v>1200</v>
      </c>
      <c r="AS127" s="187" t="str">
        <f ca="1">CONCATENATE("TIOMOS 110° ",Sprache!$A$98)</f>
        <v>TIOMOS 110° Шарнир</v>
      </c>
      <c r="AT127" s="187" t="str">
        <f ca="1">CONCATENATE("1D° ",Sprache!$A$149)</f>
        <v>1D° Монтажная плита</v>
      </c>
      <c r="AU127"/>
      <c r="AV127"/>
      <c r="AY127"/>
      <c r="AZ127"/>
      <c r="BA127"/>
      <c r="BB127"/>
      <c r="BC127"/>
    </row>
    <row r="128" spans="1:55" s="5" customFormat="1" hidden="1" x14ac:dyDescent="0.25">
      <c r="A128" s="12" t="str">
        <f ca="1">IF(F128+G128+H128+I128+J128+D128+E128=3,IF(Tabelle2[[#This Row],[Kappe Weiß]]=Limits!$R$29,1,""),"")</f>
        <v/>
      </c>
      <c r="B128" s="12" t="str">
        <f ca="1">IF(G128+H128+I128+J128+E128+F128=2,IF(Tabelle2[[#This Row],[Kappe Weiß]]=Limits!$R$29,1,""),"")</f>
        <v/>
      </c>
      <c r="C128" s="291">
        <v>0</v>
      </c>
      <c r="D128" s="171">
        <f>IF(Limits!$P$12=TRUE,1,0)</f>
        <v>0</v>
      </c>
      <c r="E128" s="172">
        <f>IF(Daten!$P128+Daten!$Q128+Daten!$S128=3,1,0)</f>
        <v>0</v>
      </c>
      <c r="F128" s="173">
        <f ca="1">IF(AND(Limits!$Q$21=TRUE,Daten!O128=1)=TRUE,1,0)</f>
        <v>0</v>
      </c>
      <c r="G128" s="174">
        <f>IF(AND(Limits!$Q$25=TRUE,Daten!N128=1)=TRUE,1,0)</f>
        <v>0</v>
      </c>
      <c r="H128" s="174">
        <f>IF(AND(Limits!$Q$24=TRUE,Daten!M128=1)=TRUE,1,0)</f>
        <v>0</v>
      </c>
      <c r="I128" s="174">
        <f>IF(AND(Limits!$Q$23=TRUE,Daten!L128=1)=TRUE,1,0)</f>
        <v>0</v>
      </c>
      <c r="J128" s="174">
        <f>IF(AND(Limits!$Q$22=TRUE,Daten!K128=1)=TRUE,1,0)</f>
        <v>0</v>
      </c>
      <c r="K128" s="188">
        <f>IF(Daten!$V128=13,1,0)</f>
        <v>0</v>
      </c>
      <c r="L128" s="189">
        <f>IF(Daten!$V128&lt;&gt;Daten!$W128,1,IF(Daten!$V128=14,1,0))</f>
        <v>1</v>
      </c>
      <c r="M128" s="189">
        <f>IF(Daten!$V128&lt;&gt;Daten!$W128,1,IF(Daten!$V128=16,1,0))</f>
        <v>0</v>
      </c>
      <c r="N128" s="189">
        <f>IF(Daten!$W128=17,1,0)</f>
        <v>0</v>
      </c>
      <c r="O128" s="190">
        <f ca="1">IF(Daten!$X128=Sprache!$A$70,1,0)</f>
        <v>0</v>
      </c>
      <c r="P128" s="191">
        <f>IF(AND(Daten!$AQ128&lt;=KINVARO!$AW$3,Daten!$AR128&gt;=KINVARO!$AW$3)=TRUE,1,0)</f>
        <v>1</v>
      </c>
      <c r="Q128" s="192">
        <f>IF(AND(Daten!$AA128&lt;=KINVARO!$AW$4,Daten!$AB128&gt;=KINVARO!$AW$4)=TRUE,1,0)</f>
        <v>0</v>
      </c>
      <c r="R128" s="192"/>
      <c r="S128" s="192">
        <f>IF(AND(Daten!$AD128&lt;=Limits!$I$70,Daten!$AE128&gt;=Limits!$I$70)=TRUE,1,0)</f>
        <v>0</v>
      </c>
      <c r="T128" s="193">
        <f ca="1">IF(Daten!$Y128=Sprache!$A$135,1,0)</f>
        <v>0</v>
      </c>
      <c r="U128" s="124" t="str">
        <f ca="1">Sprache!$A$62</f>
        <v>T-105 Коленчатый подъемник</v>
      </c>
      <c r="V128" s="194">
        <v>14</v>
      </c>
      <c r="W128" s="193">
        <v>14</v>
      </c>
      <c r="X128" s="187" t="str">
        <f ca="1">Sprache!$A$141</f>
        <v>Alu</v>
      </c>
      <c r="Y128" s="187" t="str">
        <f ca="1">Sprache!$A$136</f>
        <v>nein</v>
      </c>
      <c r="Z128" s="187" t="str">
        <f ca="1">Sprache!$A$79</f>
        <v>Створка</v>
      </c>
      <c r="AA128" s="187">
        <v>350</v>
      </c>
      <c r="AB128" s="124">
        <v>399</v>
      </c>
      <c r="AC128" s="187"/>
      <c r="AD128" s="195">
        <v>1.3</v>
      </c>
      <c r="AE128" s="196">
        <v>4.0999999999999996</v>
      </c>
      <c r="AF128" s="263" t="str">
        <f>MID(Tabelle2[[#This Row],[bnr full]],1,4)</f>
        <v>F151</v>
      </c>
      <c r="AG128" s="264" t="str">
        <f>MID(Tabelle2[[#This Row],[bnr full]],5,3)</f>
        <v>145</v>
      </c>
      <c r="AH128" s="265" t="str">
        <f>MID(Tabelle2[[#This Row],[bnr full]],8,3)</f>
        <v>214</v>
      </c>
      <c r="AI128" s="264" t="str">
        <f>MID(Tabelle2[[#This Row],[bnr full]],11,3)</f>
        <v>201</v>
      </c>
      <c r="AJ128" s="252" t="str">
        <f>MID(Tabelle2[[#This Row],[bnr full]],11,3)</f>
        <v>201</v>
      </c>
      <c r="AK128" s="197" t="s">
        <v>787</v>
      </c>
      <c r="AL128" s="124" t="str">
        <f ca="1">Sprache!$A$112</f>
        <v>Правый</v>
      </c>
      <c r="AM128" s="187" t="str">
        <f ca="1">Sprache!$A$133</f>
        <v>1 коленчатый подъемник</v>
      </c>
      <c r="AN128" s="187" t="str">
        <f ca="1">Sprache!$A$125</f>
        <v>Пружина, стандарт</v>
      </c>
      <c r="AO128" s="187" t="str">
        <f ca="1">Sprache!$A$148</f>
        <v>Коленчатый подъемник Kinvaro T-105, правый</v>
      </c>
      <c r="AP128" s="187" t="s">
        <v>818</v>
      </c>
      <c r="AQ128" s="187">
        <f>Limits!$K$9</f>
        <v>200</v>
      </c>
      <c r="AR128" s="124">
        <v>1200</v>
      </c>
      <c r="AS128" s="187" t="str">
        <f ca="1">CONCATENATE("TIOMOS 110° ",Sprache!$A$150)</f>
        <v>TIOMOS 110° Шарнир для алюминиевой рамки</v>
      </c>
      <c r="AT128" s="187" t="str">
        <f ca="1">CONCATENATE("1D° ",Sprache!$A$149)</f>
        <v>1D° Монтажная плита</v>
      </c>
    </row>
    <row r="129" spans="1:55" hidden="1" x14ac:dyDescent="0.25">
      <c r="A129" s="12" t="str">
        <f ca="1">IF(F129+G129+H129+I129+J129+D129+E129=3,IF(Tabelle2[[#This Row],[Kappe Weiß]]=Limits!$R$29,1,""),"")</f>
        <v/>
      </c>
      <c r="B129" s="12" t="str">
        <f ca="1">IF(G129+H129+I129+J129+E129+F129=2,IF(Tabelle2[[#This Row],[Kappe Weiß]]=Limits!$R$29,1,""),"")</f>
        <v/>
      </c>
      <c r="C129" s="291">
        <v>0</v>
      </c>
      <c r="D129" s="171">
        <f>IF(Limits!$P$12=TRUE,1,0)</f>
        <v>0</v>
      </c>
      <c r="E129" s="172">
        <f>IF(Daten!$P129+Daten!$Q129+Daten!$S129=3,1,0)</f>
        <v>0</v>
      </c>
      <c r="F129" s="173">
        <f ca="1">IF(AND(Limits!$Q$21=TRUE,Daten!O129=1)=TRUE,1,0)</f>
        <v>0</v>
      </c>
      <c r="G129" s="174">
        <f>IF(AND(Limits!$Q$25=TRUE,Daten!N129=1)=TRUE,1,0)</f>
        <v>0</v>
      </c>
      <c r="H129" s="174">
        <f>IF(AND(Limits!$Q$24=TRUE,Daten!M129=1)=TRUE,1,0)</f>
        <v>0</v>
      </c>
      <c r="I129" s="174">
        <f>IF(AND(Limits!$Q$23=TRUE,Daten!L129=1)=TRUE,1,0)</f>
        <v>0</v>
      </c>
      <c r="J129" s="174">
        <f>IF(AND(Limits!$Q$22=TRUE,Daten!K129=1)=TRUE,1,0)</f>
        <v>0</v>
      </c>
      <c r="K129" s="188">
        <f>IF(Daten!$V129=13,1,0)</f>
        <v>0</v>
      </c>
      <c r="L129" s="189">
        <f>IF(Daten!$V129&lt;&gt;Daten!$W129,1,IF(Daten!$V129=14,1,0))</f>
        <v>0</v>
      </c>
      <c r="M129" s="189">
        <f>IF(Daten!$V129&lt;&gt;Daten!$W129,1,IF(Daten!$V129=16,1,0))</f>
        <v>1</v>
      </c>
      <c r="N129" s="189">
        <f>IF(Daten!$W129=17,1,0)</f>
        <v>0</v>
      </c>
      <c r="O129" s="190">
        <f ca="1">IF(Daten!$X129=Sprache!$A$70,1,0)</f>
        <v>0</v>
      </c>
      <c r="P129" s="191">
        <f>IF(AND(Daten!$AQ129&lt;=KINVARO!$AW$3,Daten!$AR129&gt;=KINVARO!$AW$3)=TRUE,1,0)</f>
        <v>1</v>
      </c>
      <c r="Q129" s="192">
        <f>IF(AND(Daten!$AA129&lt;=KINVARO!$AW$4,Daten!$AB129&gt;=KINVARO!$AW$4)=TRUE,1,0)</f>
        <v>0</v>
      </c>
      <c r="R129" s="192"/>
      <c r="S129" s="192">
        <f>IF(AND(Daten!$AD129&lt;=Limits!$I$70,Daten!$AE129&gt;=Limits!$I$70)=TRUE,1,0)</f>
        <v>0</v>
      </c>
      <c r="T129" s="193">
        <f ca="1">IF(Daten!$Y129=Sprache!$A$135,1,0)</f>
        <v>0</v>
      </c>
      <c r="U129" s="124" t="str">
        <f ca="1">Sprache!$A$62</f>
        <v>T-105 Коленчатый подъемник</v>
      </c>
      <c r="V129" s="194">
        <v>16</v>
      </c>
      <c r="W129" s="193">
        <v>16</v>
      </c>
      <c r="X129" s="187" t="str">
        <f ca="1">Sprache!$A$141</f>
        <v>Alu</v>
      </c>
      <c r="Y129" s="187" t="str">
        <f ca="1">Sprache!$A$136</f>
        <v>nein</v>
      </c>
      <c r="Z129" s="187" t="str">
        <f ca="1">Sprache!$A$79</f>
        <v>Створка</v>
      </c>
      <c r="AA129" s="187">
        <v>350</v>
      </c>
      <c r="AB129" s="124">
        <v>399</v>
      </c>
      <c r="AC129" s="187"/>
      <c r="AD129" s="195">
        <v>1.3</v>
      </c>
      <c r="AE129" s="196">
        <v>4.0999999999999996</v>
      </c>
      <c r="AF129" s="263" t="str">
        <f>MID(Tabelle2[[#This Row],[bnr full]],1,4)</f>
        <v>F151</v>
      </c>
      <c r="AG129" s="264" t="str">
        <f>MID(Tabelle2[[#This Row],[bnr full]],5,3)</f>
        <v>145</v>
      </c>
      <c r="AH129" s="265" t="str">
        <f>MID(Tabelle2[[#This Row],[bnr full]],8,3)</f>
        <v>216</v>
      </c>
      <c r="AI129" s="264" t="str">
        <f>MID(Tabelle2[[#This Row],[bnr full]],11,3)</f>
        <v>201</v>
      </c>
      <c r="AJ129" s="252" t="str">
        <f>MID(Tabelle2[[#This Row],[bnr full]],11,3)</f>
        <v>201</v>
      </c>
      <c r="AK129" s="197" t="s">
        <v>788</v>
      </c>
      <c r="AL129" s="124" t="str">
        <f ca="1">Sprache!$A$112</f>
        <v>Правый</v>
      </c>
      <c r="AM129" s="187" t="str">
        <f ca="1">Sprache!$A$133</f>
        <v>1 коленчатый подъемник</v>
      </c>
      <c r="AN129" s="187" t="str">
        <f ca="1">Sprache!$A$125</f>
        <v>Пружина, стандарт</v>
      </c>
      <c r="AO129" s="187" t="str">
        <f ca="1">Sprache!$A$148</f>
        <v>Коленчатый подъемник Kinvaro T-105, правый</v>
      </c>
      <c r="AP129" s="187" t="s">
        <v>819</v>
      </c>
      <c r="AQ129" s="187">
        <f>Limits!$K$9</f>
        <v>200</v>
      </c>
      <c r="AR129" s="124">
        <v>1200</v>
      </c>
      <c r="AS129" s="187" t="str">
        <f ca="1">CONCATENATE("TIOMOS 110° ",Sprache!$A$150)</f>
        <v>TIOMOS 110° Шарнир для алюминиевой рамки</v>
      </c>
      <c r="AT129" s="187" t="str">
        <f ca="1">CONCATENATE("1D° ",Sprache!$A$149)</f>
        <v>1D° Монтажная плита</v>
      </c>
      <c r="AU129"/>
      <c r="AV129"/>
      <c r="AY129"/>
      <c r="AZ129"/>
      <c r="BA129"/>
      <c r="BB129"/>
      <c r="BC129"/>
    </row>
    <row r="130" spans="1:55" s="5" customFormat="1" hidden="1" x14ac:dyDescent="0.25">
      <c r="A130" s="12" t="str">
        <f ca="1">IF(F130+G130+H130+I130+J130+D130+E130=3,IF(Tabelle2[[#This Row],[Kappe Weiß]]=Limits!$R$29,1,""),"")</f>
        <v/>
      </c>
      <c r="B130" s="12" t="str">
        <f ca="1">IF(G130+H130+I130+J130+E130+F130=2,IF(Tabelle2[[#This Row],[Kappe Weiß]]=Limits!$R$29,1,""),"")</f>
        <v/>
      </c>
      <c r="C130" s="291">
        <v>0</v>
      </c>
      <c r="D130" s="171">
        <f>IF(Limits!$P$12=TRUE,1,0)</f>
        <v>0</v>
      </c>
      <c r="E130" s="172">
        <f>IF(Daten!$P130+Daten!$Q130+Daten!$S130=3,1,0)</f>
        <v>0</v>
      </c>
      <c r="F130" s="173">
        <f ca="1">IF(AND(Limits!$Q$21=TRUE,Daten!O130=1)=TRUE,1,0)</f>
        <v>1</v>
      </c>
      <c r="G130" s="174">
        <f ca="1">IF(AND(Limits!$Q$25=TRUE,Daten!N130=1)=TRUE,1,0)</f>
        <v>0</v>
      </c>
      <c r="H130" s="174">
        <f ca="1">IF(AND(Limits!$Q$24=TRUE,Daten!M130=1)=TRUE,1,0)</f>
        <v>0</v>
      </c>
      <c r="I130" s="174">
        <f ca="1">IF(AND(Limits!$Q$23=TRUE,Daten!L130=1)=TRUE,1,0)</f>
        <v>0</v>
      </c>
      <c r="J130" s="174">
        <f ca="1">IF(AND(Limits!$Q$22=TRUE,Daten!K130=1)=TRUE,1,0)</f>
        <v>0</v>
      </c>
      <c r="K130" s="188">
        <f ca="1">IF(Daten!$V130=13,1,0)</f>
        <v>0</v>
      </c>
      <c r="L130" s="189">
        <f ca="1">IF(Daten!$V130&lt;&gt;Daten!$W130,1,IF(Daten!$V130=14,1,0))</f>
        <v>0</v>
      </c>
      <c r="M130" s="189">
        <f ca="1">IF(Daten!$V130&lt;&gt;Daten!$W130,1,IF(Daten!$V130=16,1,0))</f>
        <v>0</v>
      </c>
      <c r="N130" s="189">
        <f ca="1">IF(Daten!$W130=17,1,0)</f>
        <v>0</v>
      </c>
      <c r="O130" s="190">
        <f ca="1">IF(Daten!$X130=Sprache!$A$70,1,0)</f>
        <v>1</v>
      </c>
      <c r="P130" s="191">
        <f>IF(AND(Daten!$AQ130&lt;=KINVARO!$AW$3,Daten!$AR130&gt;=KINVARO!$AW$3)=TRUE,1,0)</f>
        <v>1</v>
      </c>
      <c r="Q130" s="192">
        <f>IF(AND(Daten!$AA130&lt;=KINVARO!$AW$4,Daten!$AB130&gt;=KINVARO!$AW$4)=TRUE,1,0)</f>
        <v>0</v>
      </c>
      <c r="R130" s="192"/>
      <c r="S130" s="192">
        <f>IF(AND(Daten!$AD130&lt;=Limits!$I$70,Daten!$AE130&gt;=Limits!$I$70)=TRUE,1,0)</f>
        <v>0</v>
      </c>
      <c r="T130" s="193">
        <f ca="1">IF(Daten!$Y130=Sprache!$A$135,1,0)</f>
        <v>0</v>
      </c>
      <c r="U130" s="124" t="str">
        <f ca="1">Sprache!$A$62</f>
        <v>T-105 Коленчатый подъемник</v>
      </c>
      <c r="V130" s="194" t="str">
        <f ca="1">Sprache!$A$74</f>
        <v>var</v>
      </c>
      <c r="W130" s="193" t="str">
        <f ca="1">Sprache!$A$74</f>
        <v>var</v>
      </c>
      <c r="X130" s="187" t="str">
        <f ca="1">Sprache!$A$70</f>
        <v>соединение с древесиной</v>
      </c>
      <c r="Y130" s="187" t="str">
        <f ca="1">Sprache!$A$136</f>
        <v>nein</v>
      </c>
      <c r="Z130" s="187" t="str">
        <f ca="1">Sprache!$A$79</f>
        <v>Створка</v>
      </c>
      <c r="AA130" s="187">
        <v>350</v>
      </c>
      <c r="AB130" s="124">
        <v>399</v>
      </c>
      <c r="AC130" s="187"/>
      <c r="AD130" s="195">
        <v>2.6</v>
      </c>
      <c r="AE130" s="196">
        <v>8.1</v>
      </c>
      <c r="AF130" s="263" t="str">
        <f>MID(Tabelle2[[#This Row],[bnr full]],1,4)</f>
        <v>F151</v>
      </c>
      <c r="AG130" s="264" t="str">
        <f>MID(Tabelle2[[#This Row],[bnr full]],5,3)</f>
        <v>145</v>
      </c>
      <c r="AH130" s="265" t="str">
        <f>MID(Tabelle2[[#This Row],[bnr full]],8,3)</f>
        <v>220</v>
      </c>
      <c r="AI130" s="264" t="str">
        <f>MID(Tabelle2[[#This Row],[bnr full]],11,3)</f>
        <v>201</v>
      </c>
      <c r="AJ130" s="252" t="str">
        <f>MID(Tabelle2[[#This Row],[bnr full]],11,3)</f>
        <v>201</v>
      </c>
      <c r="AK130" s="197" t="s">
        <v>785</v>
      </c>
      <c r="AL130" s="124" t="str">
        <f ca="1">Sprache!$A$112</f>
        <v>Правый</v>
      </c>
      <c r="AM130" s="187" t="str">
        <f ca="1">Sprache!$A$134</f>
        <v>2 коленчатых подъемника</v>
      </c>
      <c r="AN130" s="187" t="str">
        <f ca="1">Sprache!$A$125</f>
        <v>Пружина, стандарт</v>
      </c>
      <c r="AO130" s="187" t="str">
        <f ca="1">Sprache!$A$148</f>
        <v>Коленчатый подъемник Kinvaro T-105, правый</v>
      </c>
      <c r="AP130" s="187" t="s">
        <v>816</v>
      </c>
      <c r="AQ130" s="187">
        <f>Limits!$K$9</f>
        <v>200</v>
      </c>
      <c r="AR130" s="124">
        <v>1200</v>
      </c>
      <c r="AS130" s="187" t="str">
        <f ca="1">CONCATENATE("TIOMOS 110° ",Sprache!$A$98)</f>
        <v>TIOMOS 110° Шарнир</v>
      </c>
      <c r="AT130" s="187" t="str">
        <f ca="1">CONCATENATE("1D° ",Sprache!$A$149)</f>
        <v>1D° Монтажная плита</v>
      </c>
    </row>
    <row r="131" spans="1:55" hidden="1" x14ac:dyDescent="0.25">
      <c r="A131" s="12" t="str">
        <f ca="1">IF(F131+G131+H131+I131+J131+D131+E131=3,IF(Tabelle2[[#This Row],[Kappe Weiß]]=Limits!$R$29,1,""),"")</f>
        <v/>
      </c>
      <c r="B131" s="12" t="str">
        <f ca="1">IF(G131+H131+I131+J131+E131+F131=2,IF(Tabelle2[[#This Row],[Kappe Weiß]]=Limits!$R$29,1,""),"")</f>
        <v/>
      </c>
      <c r="C131" s="291">
        <v>0</v>
      </c>
      <c r="D131" s="171">
        <f>IF(Limits!$P$12=TRUE,1,0)</f>
        <v>0</v>
      </c>
      <c r="E131" s="172">
        <f>IF(Daten!$P131+Daten!$Q131+Daten!$S131=3,1,0)</f>
        <v>0</v>
      </c>
      <c r="F131" s="173">
        <f ca="1">IF(AND(Limits!$Q$21=TRUE,Daten!O131=1)=TRUE,1,0)</f>
        <v>1</v>
      </c>
      <c r="G131" s="174">
        <f ca="1">IF(AND(Limits!$Q$25=TRUE,Daten!N131=1)=TRUE,1,0)</f>
        <v>0</v>
      </c>
      <c r="H131" s="174">
        <f ca="1">IF(AND(Limits!$Q$24=TRUE,Daten!M131=1)=TRUE,1,0)</f>
        <v>0</v>
      </c>
      <c r="I131" s="174">
        <f ca="1">IF(AND(Limits!$Q$23=TRUE,Daten!L131=1)=TRUE,1,0)</f>
        <v>0</v>
      </c>
      <c r="J131" s="174">
        <f ca="1">IF(AND(Limits!$Q$22=TRUE,Daten!K131=1)=TRUE,1,0)</f>
        <v>0</v>
      </c>
      <c r="K131" s="188">
        <f ca="1">IF(Daten!$V131=13,1,0)</f>
        <v>0</v>
      </c>
      <c r="L131" s="189">
        <f ca="1">IF(Daten!$V131&lt;&gt;Daten!$W131,1,IF(Daten!$V131=14,1,0))</f>
        <v>0</v>
      </c>
      <c r="M131" s="189">
        <f ca="1">IF(Daten!$V131&lt;&gt;Daten!$W131,1,IF(Daten!$V131=16,1,0))</f>
        <v>0</v>
      </c>
      <c r="N131" s="189">
        <f ca="1">IF(Daten!$W131=17,1,0)</f>
        <v>0</v>
      </c>
      <c r="O131" s="190">
        <f ca="1">IF(Daten!$X131=Sprache!$A$70,1,0)</f>
        <v>1</v>
      </c>
      <c r="P131" s="191">
        <f>IF(AND(Daten!$AQ131&lt;=KINVARO!$AW$3,Daten!$AR131&gt;=KINVARO!$AW$3)=TRUE,1,0)</f>
        <v>1</v>
      </c>
      <c r="Q131" s="192">
        <f>IF(AND(Daten!$AA131&lt;=KINVARO!$AW$4,Daten!$AB131&gt;=KINVARO!$AW$4)=TRUE,1,0)</f>
        <v>0</v>
      </c>
      <c r="R131" s="192"/>
      <c r="S131" s="192">
        <f>IF(AND(Daten!$AD131&lt;=Limits!$I$70,Daten!$AE131&gt;=Limits!$I$70)=TRUE,1,0)</f>
        <v>0</v>
      </c>
      <c r="T131" s="193">
        <f ca="1">IF(Daten!$Y131=Sprache!$A$135,1,0)</f>
        <v>0</v>
      </c>
      <c r="U131" s="124" t="str">
        <f ca="1">Sprache!$A$62</f>
        <v>T-105 Коленчатый подъемник</v>
      </c>
      <c r="V131" s="194" t="str">
        <f ca="1">Sprache!$A$74</f>
        <v>var</v>
      </c>
      <c r="W131" s="193" t="str">
        <f ca="1">Sprache!$A$74</f>
        <v>var</v>
      </c>
      <c r="X131" s="187" t="str">
        <f ca="1">Sprache!$A$70</f>
        <v>соединение с древесиной</v>
      </c>
      <c r="Y131" s="187" t="str">
        <f ca="1">Sprache!$A$136</f>
        <v>nein</v>
      </c>
      <c r="Z131" s="187" t="str">
        <f ca="1">Sprache!$A$79</f>
        <v>Створка</v>
      </c>
      <c r="AA131" s="187">
        <v>350</v>
      </c>
      <c r="AB131" s="124">
        <v>399</v>
      </c>
      <c r="AC131" s="187"/>
      <c r="AD131" s="195">
        <v>4.8</v>
      </c>
      <c r="AE131" s="196">
        <v>9.5</v>
      </c>
      <c r="AF131" s="263" t="str">
        <f>MID(Tabelle2[[#This Row],[bnr full]],1,4)</f>
        <v>F151</v>
      </c>
      <c r="AG131" s="264" t="str">
        <f>MID(Tabelle2[[#This Row],[bnr full]],5,3)</f>
        <v>145</v>
      </c>
      <c r="AH131" s="265" t="str">
        <f>MID(Tabelle2[[#This Row],[bnr full]],8,3)</f>
        <v>218</v>
      </c>
      <c r="AI131" s="264" t="str">
        <f>MID(Tabelle2[[#This Row],[bnr full]],11,3)</f>
        <v>201</v>
      </c>
      <c r="AJ131" s="252" t="str">
        <f>MID(Tabelle2[[#This Row],[bnr full]],11,3)</f>
        <v>201</v>
      </c>
      <c r="AK131" s="197" t="s">
        <v>786</v>
      </c>
      <c r="AL131" s="124" t="str">
        <f ca="1">Sprache!$A$112</f>
        <v>Правый</v>
      </c>
      <c r="AM131" s="187" t="str">
        <f ca="1">Sprache!$A$134</f>
        <v>2 коленчатых подъемника</v>
      </c>
      <c r="AN131" s="187" t="str">
        <f ca="1">Sprache!$A$126</f>
        <v>Пружина, черная</v>
      </c>
      <c r="AO131" s="187" t="str">
        <f ca="1">Sprache!$A$148</f>
        <v>Коленчатый подъемник Kinvaro T-105, правый</v>
      </c>
      <c r="AP131" s="187" t="s">
        <v>817</v>
      </c>
      <c r="AQ131" s="187">
        <f>Limits!$K$9</f>
        <v>200</v>
      </c>
      <c r="AR131" s="124">
        <v>1200</v>
      </c>
      <c r="AS131" s="187" t="str">
        <f ca="1">CONCATENATE("TIOMOS 110° ",Sprache!$A$98)</f>
        <v>TIOMOS 110° Шарнир</v>
      </c>
      <c r="AT131" s="187" t="str">
        <f ca="1">CONCATENATE("1D° ",Sprache!$A$149)</f>
        <v>1D° Монтажная плита</v>
      </c>
      <c r="AU131"/>
      <c r="AV131"/>
      <c r="AY131"/>
      <c r="AZ131"/>
      <c r="BA131"/>
      <c r="BB131"/>
      <c r="BC131"/>
    </row>
    <row r="132" spans="1:55" s="5" customFormat="1" hidden="1" x14ac:dyDescent="0.25">
      <c r="A132" s="12" t="str">
        <f ca="1">IF(F132+G132+H132+I132+J132+D132+E132=3,IF(Tabelle2[[#This Row],[Kappe Weiß]]=Limits!$R$29,1,""),"")</f>
        <v/>
      </c>
      <c r="B132" s="12" t="str">
        <f ca="1">IF(G132+H132+I132+J132+E132+F132=2,IF(Tabelle2[[#This Row],[Kappe Weiß]]=Limits!$R$29,1,""),"")</f>
        <v/>
      </c>
      <c r="C132" s="291">
        <v>0</v>
      </c>
      <c r="D132" s="171">
        <f>IF(Limits!$P$12=TRUE,1,0)</f>
        <v>0</v>
      </c>
      <c r="E132" s="172">
        <f>IF(Daten!$P132+Daten!$Q132+Daten!$S132=3,1,0)</f>
        <v>0</v>
      </c>
      <c r="F132" s="173">
        <f ca="1">IF(AND(Limits!$Q$21=TRUE,Daten!O132=1)=TRUE,1,0)</f>
        <v>0</v>
      </c>
      <c r="G132" s="174">
        <f>IF(AND(Limits!$Q$25=TRUE,Daten!N132=1)=TRUE,1,0)</f>
        <v>0</v>
      </c>
      <c r="H132" s="174">
        <f>IF(AND(Limits!$Q$24=TRUE,Daten!M132=1)=TRUE,1,0)</f>
        <v>0</v>
      </c>
      <c r="I132" s="174">
        <f>IF(AND(Limits!$Q$23=TRUE,Daten!L132=1)=TRUE,1,0)</f>
        <v>0</v>
      </c>
      <c r="J132" s="174">
        <f>IF(AND(Limits!$Q$22=TRUE,Daten!K132=1)=TRUE,1,0)</f>
        <v>0</v>
      </c>
      <c r="K132" s="188">
        <f>IF(Daten!$V132=13,1,0)</f>
        <v>0</v>
      </c>
      <c r="L132" s="189">
        <f>IF(Daten!$V132&lt;&gt;Daten!$W132,1,IF(Daten!$V132=14,1,0))</f>
        <v>1</v>
      </c>
      <c r="M132" s="189">
        <f>IF(Daten!$V132&lt;&gt;Daten!$W132,1,IF(Daten!$V132=16,1,0))</f>
        <v>0</v>
      </c>
      <c r="N132" s="189">
        <f>IF(Daten!$W132=17,1,0)</f>
        <v>0</v>
      </c>
      <c r="O132" s="190">
        <f ca="1">IF(Daten!$X132=Sprache!$A$70,1,0)</f>
        <v>0</v>
      </c>
      <c r="P132" s="191">
        <f>IF(AND(Daten!$AQ132&lt;=KINVARO!$AW$3,Daten!$AR132&gt;=KINVARO!$AW$3)=TRUE,1,0)</f>
        <v>1</v>
      </c>
      <c r="Q132" s="192">
        <f>IF(AND(Daten!$AA132&lt;=KINVARO!$AW$4,Daten!$AB132&gt;=KINVARO!$AW$4)=TRUE,1,0)</f>
        <v>0</v>
      </c>
      <c r="R132" s="192"/>
      <c r="S132" s="192">
        <f>IF(AND(Daten!$AD132&lt;=Limits!$I$70,Daten!$AE132&gt;=Limits!$I$70)=TRUE,1,0)</f>
        <v>0</v>
      </c>
      <c r="T132" s="193">
        <f ca="1">IF(Daten!$Y132=Sprache!$A$135,1,0)</f>
        <v>0</v>
      </c>
      <c r="U132" s="124" t="str">
        <f ca="1">Sprache!$A$62</f>
        <v>T-105 Коленчатый подъемник</v>
      </c>
      <c r="V132" s="194">
        <v>14</v>
      </c>
      <c r="W132" s="193">
        <v>14</v>
      </c>
      <c r="X132" s="187" t="str">
        <f ca="1">Sprache!$A$141</f>
        <v>Alu</v>
      </c>
      <c r="Y132" s="187" t="str">
        <f ca="1">Sprache!$A$136</f>
        <v>nein</v>
      </c>
      <c r="Z132" s="187" t="str">
        <f ca="1">Sprache!$A$79</f>
        <v>Створка</v>
      </c>
      <c r="AA132" s="187">
        <v>350</v>
      </c>
      <c r="AB132" s="124">
        <v>399</v>
      </c>
      <c r="AC132" s="187"/>
      <c r="AD132" s="195">
        <v>2.6</v>
      </c>
      <c r="AE132" s="196">
        <v>8.1</v>
      </c>
      <c r="AF132" s="263" t="str">
        <f>MID(Tabelle2[[#This Row],[bnr full]],1,4)</f>
        <v>F151</v>
      </c>
      <c r="AG132" s="264" t="str">
        <f>MID(Tabelle2[[#This Row],[bnr full]],5,3)</f>
        <v>145</v>
      </c>
      <c r="AH132" s="265" t="str">
        <f>MID(Tabelle2[[#This Row],[bnr full]],8,3)</f>
        <v>214</v>
      </c>
      <c r="AI132" s="264" t="str">
        <f>MID(Tabelle2[[#This Row],[bnr full]],11,3)</f>
        <v>201</v>
      </c>
      <c r="AJ132" s="252" t="str">
        <f>MID(Tabelle2[[#This Row],[bnr full]],11,3)</f>
        <v>201</v>
      </c>
      <c r="AK132" s="197" t="s">
        <v>787</v>
      </c>
      <c r="AL132" s="124" t="str">
        <f ca="1">Sprache!$A$112</f>
        <v>Правый</v>
      </c>
      <c r="AM132" s="187" t="str">
        <f ca="1">Sprache!$A$134</f>
        <v>2 коленчатых подъемника</v>
      </c>
      <c r="AN132" s="187" t="str">
        <f ca="1">Sprache!$A$125</f>
        <v>Пружина, стандарт</v>
      </c>
      <c r="AO132" s="187" t="str">
        <f ca="1">Sprache!$A$148</f>
        <v>Коленчатый подъемник Kinvaro T-105, правый</v>
      </c>
      <c r="AP132" s="187" t="s">
        <v>818</v>
      </c>
      <c r="AQ132" s="187">
        <f>Limits!$K$9</f>
        <v>200</v>
      </c>
      <c r="AR132" s="124">
        <v>1200</v>
      </c>
      <c r="AS132" s="187" t="str">
        <f ca="1">CONCATENATE("TIOMOS 110° ",Sprache!$A$150)</f>
        <v>TIOMOS 110° Шарнир для алюминиевой рамки</v>
      </c>
      <c r="AT132" s="187" t="str">
        <f ca="1">CONCATENATE("1D° ",Sprache!$A$149)</f>
        <v>1D° Монтажная плита</v>
      </c>
    </row>
    <row r="133" spans="1:55" hidden="1" x14ac:dyDescent="0.25">
      <c r="A133" s="12" t="str">
        <f ca="1">IF(F133+G133+H133+I133+J133+D133+E133=3,IF(Tabelle2[[#This Row],[Kappe Weiß]]=Limits!$R$29,1,""),"")</f>
        <v/>
      </c>
      <c r="B133" s="12" t="str">
        <f ca="1">IF(G133+H133+I133+J133+E133+F133=2,IF(Tabelle2[[#This Row],[Kappe Weiß]]=Limits!$R$29,1,""),"")</f>
        <v/>
      </c>
      <c r="C133" s="291">
        <v>0</v>
      </c>
      <c r="D133" s="171">
        <f>IF(Limits!$P$12=TRUE,1,0)</f>
        <v>0</v>
      </c>
      <c r="E133" s="172">
        <f>IF(Daten!$P133+Daten!$Q133+Daten!$S133=3,1,0)</f>
        <v>0</v>
      </c>
      <c r="F133" s="173">
        <f ca="1">IF(AND(Limits!$Q$21=TRUE,Daten!O133=1)=TRUE,1,0)</f>
        <v>0</v>
      </c>
      <c r="G133" s="174">
        <f>IF(AND(Limits!$Q$25=TRUE,Daten!N133=1)=TRUE,1,0)</f>
        <v>0</v>
      </c>
      <c r="H133" s="174">
        <f>IF(AND(Limits!$Q$24=TRUE,Daten!M133=1)=TRUE,1,0)</f>
        <v>0</v>
      </c>
      <c r="I133" s="174">
        <f>IF(AND(Limits!$Q$23=TRUE,Daten!L133=1)=TRUE,1,0)</f>
        <v>0</v>
      </c>
      <c r="J133" s="174">
        <f>IF(AND(Limits!$Q$22=TRUE,Daten!K133=1)=TRUE,1,0)</f>
        <v>0</v>
      </c>
      <c r="K133" s="188">
        <f>IF(Daten!$V133=13,1,0)</f>
        <v>0</v>
      </c>
      <c r="L133" s="189">
        <f>IF(Daten!$V133&lt;&gt;Daten!$W133,1,IF(Daten!$V133=14,1,0))</f>
        <v>0</v>
      </c>
      <c r="M133" s="189">
        <f>IF(Daten!$V133&lt;&gt;Daten!$W133,1,IF(Daten!$V133=16,1,0))</f>
        <v>1</v>
      </c>
      <c r="N133" s="189">
        <f>IF(Daten!$W133=17,1,0)</f>
        <v>0</v>
      </c>
      <c r="O133" s="190">
        <f ca="1">IF(Daten!$X133=Sprache!$A$70,1,0)</f>
        <v>0</v>
      </c>
      <c r="P133" s="191">
        <f>IF(AND(Daten!$AQ133&lt;=KINVARO!$AW$3,Daten!$AR133&gt;=KINVARO!$AW$3)=TRUE,1,0)</f>
        <v>1</v>
      </c>
      <c r="Q133" s="192">
        <f>IF(AND(Daten!$AA133&lt;=KINVARO!$AW$4,Daten!$AB133&gt;=KINVARO!$AW$4)=TRUE,1,0)</f>
        <v>0</v>
      </c>
      <c r="R133" s="192"/>
      <c r="S133" s="192">
        <f>IF(AND(Daten!$AD133&lt;=Limits!$I$70,Daten!$AE133&gt;=Limits!$I$70)=TRUE,1,0)</f>
        <v>0</v>
      </c>
      <c r="T133" s="193">
        <f ca="1">IF(Daten!$Y133=Sprache!$A$135,1,0)</f>
        <v>0</v>
      </c>
      <c r="U133" s="124" t="str">
        <f ca="1">Sprache!$A$62</f>
        <v>T-105 Коленчатый подъемник</v>
      </c>
      <c r="V133" s="194">
        <v>16</v>
      </c>
      <c r="W133" s="193">
        <v>16</v>
      </c>
      <c r="X133" s="187" t="str">
        <f ca="1">Sprache!$A$141</f>
        <v>Alu</v>
      </c>
      <c r="Y133" s="187" t="str">
        <f ca="1">Sprache!$A$136</f>
        <v>nein</v>
      </c>
      <c r="Z133" s="187" t="str">
        <f ca="1">Sprache!$A$79</f>
        <v>Створка</v>
      </c>
      <c r="AA133" s="187">
        <v>350</v>
      </c>
      <c r="AB133" s="124">
        <v>399</v>
      </c>
      <c r="AC133" s="187"/>
      <c r="AD133" s="195">
        <v>2.6</v>
      </c>
      <c r="AE133" s="196">
        <v>8.1</v>
      </c>
      <c r="AF133" s="263" t="str">
        <f>MID(Tabelle2[[#This Row],[bnr full]],1,4)</f>
        <v>F151</v>
      </c>
      <c r="AG133" s="264" t="str">
        <f>MID(Tabelle2[[#This Row],[bnr full]],5,3)</f>
        <v>145</v>
      </c>
      <c r="AH133" s="265" t="str">
        <f>MID(Tabelle2[[#This Row],[bnr full]],8,3)</f>
        <v>216</v>
      </c>
      <c r="AI133" s="264" t="str">
        <f>MID(Tabelle2[[#This Row],[bnr full]],11,3)</f>
        <v>201</v>
      </c>
      <c r="AJ133" s="252" t="str">
        <f>MID(Tabelle2[[#This Row],[bnr full]],11,3)</f>
        <v>201</v>
      </c>
      <c r="AK133" s="197" t="s">
        <v>788</v>
      </c>
      <c r="AL133" s="124" t="str">
        <f ca="1">Sprache!$A$112</f>
        <v>Правый</v>
      </c>
      <c r="AM133" s="187" t="str">
        <f ca="1">Sprache!$A$134</f>
        <v>2 коленчатых подъемника</v>
      </c>
      <c r="AN133" s="187" t="str">
        <f ca="1">Sprache!$A$125</f>
        <v>Пружина, стандарт</v>
      </c>
      <c r="AO133" s="187" t="str">
        <f ca="1">Sprache!$A$148</f>
        <v>Коленчатый подъемник Kinvaro T-105, правый</v>
      </c>
      <c r="AP133" s="187" t="s">
        <v>819</v>
      </c>
      <c r="AQ133" s="187">
        <f>Limits!$K$9</f>
        <v>200</v>
      </c>
      <c r="AR133" s="124">
        <v>1200</v>
      </c>
      <c r="AS133" s="187" t="str">
        <f ca="1">CONCATENATE("TIOMOS 110° ",Sprache!$A$150)</f>
        <v>TIOMOS 110° Шарнир для алюминиевой рамки</v>
      </c>
      <c r="AT133" s="187" t="str">
        <f ca="1">CONCATENATE("1D° ",Sprache!$A$149)</f>
        <v>1D° Монтажная плита</v>
      </c>
      <c r="AU133"/>
      <c r="AV133"/>
      <c r="AY133"/>
      <c r="AZ133"/>
      <c r="BA133"/>
      <c r="BB133"/>
      <c r="BC133"/>
    </row>
    <row r="134" spans="1:55" s="8" customFormat="1" ht="15.75" hidden="1" thickBot="1" x14ac:dyDescent="0.3">
      <c r="A134" s="12" t="str">
        <f ca="1">IF(F134+G134+H134+I134+J134+D134+E134=3,IF(Tabelle2[[#This Row],[Kappe Weiß]]=Limits!$R$29,1,""),"")</f>
        <v/>
      </c>
      <c r="B134" s="12" t="str">
        <f ca="1">IF(G134+H134+I134+J134+E134+F134=2,IF(Tabelle2[[#This Row],[Kappe Weiß]]=Limits!$R$29,1,""),"")</f>
        <v/>
      </c>
      <c r="C134" s="292">
        <v>0</v>
      </c>
      <c r="D134" s="171">
        <f>IF(Limits!$P$12=TRUE,1,0)</f>
        <v>0</v>
      </c>
      <c r="E134" s="172">
        <f>IF(Daten!$P134+Daten!$Q134+Daten!$S134=3,1,0)</f>
        <v>0</v>
      </c>
      <c r="F134" s="173">
        <f ca="1">IF(AND(Limits!$Q$21=TRUE,Daten!O134=1)=TRUE,1,0)</f>
        <v>1</v>
      </c>
      <c r="G134" s="174">
        <f ca="1">IF(AND(Limits!$Q$25=TRUE,Daten!N134=1)=TRUE,1,0)</f>
        <v>0</v>
      </c>
      <c r="H134" s="174">
        <f ca="1">IF(AND(Limits!$Q$24=TRUE,Daten!M134=1)=TRUE,1,0)</f>
        <v>0</v>
      </c>
      <c r="I134" s="174">
        <f ca="1">IF(AND(Limits!$Q$23=TRUE,Daten!L134=1)=TRUE,1,0)</f>
        <v>0</v>
      </c>
      <c r="J134" s="174">
        <f ca="1">IF(AND(Limits!$Q$22=TRUE,Daten!K134=1)=TRUE,1,0)</f>
        <v>0</v>
      </c>
      <c r="K134" s="188">
        <f ca="1">IF(Daten!$V134=13,1,0)</f>
        <v>0</v>
      </c>
      <c r="L134" s="189">
        <f ca="1">IF(Daten!$V134&lt;&gt;Daten!$W134,1,IF(Daten!$V134=14,1,0))</f>
        <v>0</v>
      </c>
      <c r="M134" s="189">
        <f ca="1">IF(Daten!$V134&lt;&gt;Daten!$W134,1,IF(Daten!$V134=16,1,0))</f>
        <v>0</v>
      </c>
      <c r="N134" s="189">
        <f ca="1">IF(Daten!$W134=17,1,0)</f>
        <v>0</v>
      </c>
      <c r="O134" s="190">
        <f ca="1">IF(Daten!$X134=Sprache!$A$70,1,0)</f>
        <v>1</v>
      </c>
      <c r="P134" s="198">
        <f>IF(AND(Daten!$AQ134&lt;=KINVARO!$AW$3,Daten!$AR134&gt;=KINVARO!$AW$3)=TRUE,1,0)</f>
        <v>1</v>
      </c>
      <c r="Q134" s="199">
        <f>IF(AND(Daten!$AA134&lt;=KINVARO!$AW$4,Daten!$AB134&gt;=KINVARO!$AW$4)=TRUE,1,0)</f>
        <v>0</v>
      </c>
      <c r="R134" s="199"/>
      <c r="S134" s="199">
        <f>IF(AND(Daten!$AD134&lt;=Limits!$I$70,Daten!$AE134&gt;=Limits!$I$70)=TRUE,1,0)</f>
        <v>0</v>
      </c>
      <c r="T134" s="200">
        <f ca="1">IF(Daten!$Y134=Sprache!$A$135,1,0)</f>
        <v>0</v>
      </c>
      <c r="U134" s="201" t="str">
        <f ca="1">Sprache!$A$62</f>
        <v>T-105 Коленчатый подъемник</v>
      </c>
      <c r="V134" s="202" t="str">
        <f ca="1">Sprache!$A$74</f>
        <v>var</v>
      </c>
      <c r="W134" s="200" t="str">
        <f ca="1">Sprache!$A$74</f>
        <v>var</v>
      </c>
      <c r="X134" s="203" t="str">
        <f ca="1">Sprache!$A$70</f>
        <v>соединение с древесиной</v>
      </c>
      <c r="Y134" s="187" t="str">
        <f ca="1">Sprache!$A$136</f>
        <v>nein</v>
      </c>
      <c r="Z134" s="203" t="str">
        <f ca="1">Sprache!$A$79</f>
        <v>Створка</v>
      </c>
      <c r="AA134" s="203">
        <v>400</v>
      </c>
      <c r="AB134" s="201">
        <v>449</v>
      </c>
      <c r="AC134" s="203"/>
      <c r="AD134" s="204">
        <v>1.3</v>
      </c>
      <c r="AE134" s="205">
        <v>3.4</v>
      </c>
      <c r="AF134" s="266" t="str">
        <f>MID(Tabelle2[[#This Row],[bnr full]],1,4)</f>
        <v>F151</v>
      </c>
      <c r="AG134" s="267" t="str">
        <f>MID(Tabelle2[[#This Row],[bnr full]],5,3)</f>
        <v>145</v>
      </c>
      <c r="AH134" s="268" t="str">
        <f>MID(Tabelle2[[#This Row],[bnr full]],8,3)</f>
        <v>220</v>
      </c>
      <c r="AI134" s="267" t="str">
        <f>MID(Tabelle2[[#This Row],[bnr full]],11,3)</f>
        <v>201</v>
      </c>
      <c r="AJ134" s="253" t="str">
        <f>MID(Tabelle2[[#This Row],[bnr full]],11,3)</f>
        <v>201</v>
      </c>
      <c r="AK134" s="206" t="s">
        <v>785</v>
      </c>
      <c r="AL134" s="201" t="str">
        <f ca="1">Sprache!$A$112</f>
        <v>Правый</v>
      </c>
      <c r="AM134" s="203" t="str">
        <f ca="1">Sprache!$A$133</f>
        <v>1 коленчатый подъемник</v>
      </c>
      <c r="AN134" s="203" t="str">
        <f ca="1">Sprache!$A$125</f>
        <v>Пружина, стандарт</v>
      </c>
      <c r="AO134" s="203" t="str">
        <f ca="1">Sprache!$A$148</f>
        <v>Коленчатый подъемник Kinvaro T-105, правый</v>
      </c>
      <c r="AP134" s="203" t="s">
        <v>816</v>
      </c>
      <c r="AQ134" s="203">
        <f>Limits!$K$9</f>
        <v>200</v>
      </c>
      <c r="AR134" s="201">
        <v>1200</v>
      </c>
      <c r="AS134" s="187" t="str">
        <f ca="1">CONCATENATE("TIOMOS 110° ",Sprache!$A$98)</f>
        <v>TIOMOS 110° Шарнир</v>
      </c>
      <c r="AT134" s="187" t="str">
        <f ca="1">CONCATENATE("1D° ",Sprache!$A$149)</f>
        <v>1D° Монтажная плита</v>
      </c>
    </row>
    <row r="135" spans="1:55" s="4" customFormat="1" hidden="1" x14ac:dyDescent="0.25">
      <c r="A135" s="12" t="str">
        <f ca="1">IF(F135+G135+H135+I135+J135+D135+E135=3,IF(Tabelle2[[#This Row],[Kappe Weiß]]=Limits!$R$29,1,""),"")</f>
        <v/>
      </c>
      <c r="B135" s="12" t="str">
        <f ca="1">IF(G135+H135+I135+J135+E135+F135=2,IF(Tabelle2[[#This Row],[Kappe Weiß]]=Limits!$R$29,1,""),"")</f>
        <v/>
      </c>
      <c r="C135" s="291">
        <v>0</v>
      </c>
      <c r="D135" s="171">
        <f>IF(Limits!$P$12=TRUE,1,0)</f>
        <v>0</v>
      </c>
      <c r="E135" s="172">
        <f>IF(Daten!$P135+Daten!$Q135+Daten!$S135=3,1,0)</f>
        <v>0</v>
      </c>
      <c r="F135" s="173">
        <f ca="1">IF(AND(Limits!$Q$21=TRUE,Daten!O135=1)=TRUE,1,0)</f>
        <v>1</v>
      </c>
      <c r="G135" s="174">
        <f ca="1">IF(AND(Limits!$Q$25=TRUE,Daten!N135=1)=TRUE,1,0)</f>
        <v>0</v>
      </c>
      <c r="H135" s="174">
        <f ca="1">IF(AND(Limits!$Q$24=TRUE,Daten!M135=1)=TRUE,1,0)</f>
        <v>0</v>
      </c>
      <c r="I135" s="174">
        <f ca="1">IF(AND(Limits!$Q$23=TRUE,Daten!L135=1)=TRUE,1,0)</f>
        <v>0</v>
      </c>
      <c r="J135" s="174">
        <f ca="1">IF(AND(Limits!$Q$22=TRUE,Daten!K135=1)=TRUE,1,0)</f>
        <v>0</v>
      </c>
      <c r="K135" s="188">
        <f ca="1">IF(Daten!$V135=13,1,0)</f>
        <v>0</v>
      </c>
      <c r="L135" s="189">
        <f ca="1">IF(Daten!$V135&lt;&gt;Daten!$W135,1,IF(Daten!$V135=14,1,0))</f>
        <v>0</v>
      </c>
      <c r="M135" s="189">
        <f ca="1">IF(Daten!$V135&lt;&gt;Daten!$W135,1,IF(Daten!$V135=16,1,0))</f>
        <v>0</v>
      </c>
      <c r="N135" s="189">
        <f ca="1">IF(Daten!$W135=17,1,0)</f>
        <v>0</v>
      </c>
      <c r="O135" s="190">
        <f ca="1">IF(Daten!$X135=Sprache!$A$70,1,0)</f>
        <v>1</v>
      </c>
      <c r="P135" s="191">
        <f>IF(AND(Daten!$AQ135&lt;=KINVARO!$AW$3,Daten!$AR135&gt;=KINVARO!$AW$3)=TRUE,1,0)</f>
        <v>1</v>
      </c>
      <c r="Q135" s="192">
        <f>IF(AND(Daten!$AA135&lt;=KINVARO!$AW$4,Daten!$AB135&gt;=KINVARO!$AW$4)=TRUE,1,0)</f>
        <v>0</v>
      </c>
      <c r="R135" s="192"/>
      <c r="S135" s="192">
        <f>IF(AND(Daten!$AD135&lt;=Limits!$I$70,Daten!$AE135&gt;=Limits!$I$70)=TRUE,1,0)</f>
        <v>0</v>
      </c>
      <c r="T135" s="193">
        <f ca="1">IF(Daten!$Y135=Sprache!$A$135,1,0)</f>
        <v>0</v>
      </c>
      <c r="U135" s="124" t="str">
        <f ca="1">Sprache!$A$62</f>
        <v>T-105 Коленчатый подъемник</v>
      </c>
      <c r="V135" s="194" t="str">
        <f ca="1">Sprache!$A$74</f>
        <v>var</v>
      </c>
      <c r="W135" s="193" t="str">
        <f ca="1">Sprache!$A$74</f>
        <v>var</v>
      </c>
      <c r="X135" s="187" t="str">
        <f ca="1">Sprache!$A$70</f>
        <v>соединение с древесиной</v>
      </c>
      <c r="Y135" s="187" t="str">
        <f ca="1">Sprache!$A$136</f>
        <v>nein</v>
      </c>
      <c r="Z135" s="187" t="str">
        <f ca="1">Sprache!$A$79</f>
        <v>Створка</v>
      </c>
      <c r="AA135" s="187">
        <v>400</v>
      </c>
      <c r="AB135" s="124">
        <v>449</v>
      </c>
      <c r="AC135" s="187"/>
      <c r="AD135" s="195">
        <v>2.2000000000000002</v>
      </c>
      <c r="AE135" s="196">
        <v>4</v>
      </c>
      <c r="AF135" s="263" t="str">
        <f>MID(Tabelle2[[#This Row],[bnr full]],1,4)</f>
        <v>F151</v>
      </c>
      <c r="AG135" s="264" t="str">
        <f>MID(Tabelle2[[#This Row],[bnr full]],5,3)</f>
        <v>145</v>
      </c>
      <c r="AH135" s="265" t="str">
        <f>MID(Tabelle2[[#This Row],[bnr full]],8,3)</f>
        <v>218</v>
      </c>
      <c r="AI135" s="264" t="str">
        <f>MID(Tabelle2[[#This Row],[bnr full]],11,3)</f>
        <v>201</v>
      </c>
      <c r="AJ135" s="252" t="str">
        <f>MID(Tabelle2[[#This Row],[bnr full]],11,3)</f>
        <v>201</v>
      </c>
      <c r="AK135" s="197" t="s">
        <v>786</v>
      </c>
      <c r="AL135" s="124" t="str">
        <f ca="1">Sprache!$A$112</f>
        <v>Правый</v>
      </c>
      <c r="AM135" s="187" t="str">
        <f ca="1">Sprache!$A$133</f>
        <v>1 коленчатый подъемник</v>
      </c>
      <c r="AN135" s="187" t="str">
        <f ca="1">Sprache!$A$126</f>
        <v>Пружина, черная</v>
      </c>
      <c r="AO135" s="187" t="str">
        <f ca="1">Sprache!$A$148</f>
        <v>Коленчатый подъемник Kinvaro T-105, правый</v>
      </c>
      <c r="AP135" s="187" t="s">
        <v>817</v>
      </c>
      <c r="AQ135" s="187">
        <f>Limits!$K$9</f>
        <v>200</v>
      </c>
      <c r="AR135" s="124">
        <v>1200</v>
      </c>
      <c r="AS135" s="187" t="str">
        <f ca="1">CONCATENATE("TIOMOS 110° ",Sprache!$A$98)</f>
        <v>TIOMOS 110° Шарнир</v>
      </c>
      <c r="AT135" s="187" t="str">
        <f ca="1">CONCATENATE("1D° ",Sprache!$A$149)</f>
        <v>1D° Монтажная плита</v>
      </c>
    </row>
    <row r="136" spans="1:55" s="4" customFormat="1" hidden="1" x14ac:dyDescent="0.25">
      <c r="A136" s="12" t="str">
        <f ca="1">IF(F136+G136+H136+I136+J136+D136+E136=3,IF(Tabelle2[[#This Row],[Kappe Weiß]]=Limits!$R$29,1,""),"")</f>
        <v/>
      </c>
      <c r="B136" s="12" t="str">
        <f ca="1">IF(G136+H136+I136+J136+E136+F136=2,IF(Tabelle2[[#This Row],[Kappe Weiß]]=Limits!$R$29,1,""),"")</f>
        <v/>
      </c>
      <c r="C136" s="291">
        <v>0</v>
      </c>
      <c r="D136" s="171">
        <f>IF(Limits!$P$12=TRUE,1,0)</f>
        <v>0</v>
      </c>
      <c r="E136" s="172">
        <f>IF(Daten!$P136+Daten!$Q136+Daten!$S136=3,1,0)</f>
        <v>0</v>
      </c>
      <c r="F136" s="173">
        <f ca="1">IF(AND(Limits!$Q$21=TRUE,Daten!O136=1)=TRUE,1,0)</f>
        <v>0</v>
      </c>
      <c r="G136" s="174">
        <f>IF(AND(Limits!$Q$25=TRUE,Daten!N136=1)=TRUE,1,0)</f>
        <v>0</v>
      </c>
      <c r="H136" s="174">
        <f>IF(AND(Limits!$Q$24=TRUE,Daten!M136=1)=TRUE,1,0)</f>
        <v>0</v>
      </c>
      <c r="I136" s="174">
        <f>IF(AND(Limits!$Q$23=TRUE,Daten!L136=1)=TRUE,1,0)</f>
        <v>0</v>
      </c>
      <c r="J136" s="174">
        <f>IF(AND(Limits!$Q$22=TRUE,Daten!K136=1)=TRUE,1,0)</f>
        <v>0</v>
      </c>
      <c r="K136" s="188">
        <f>IF(Daten!$V136=13,1,0)</f>
        <v>0</v>
      </c>
      <c r="L136" s="189">
        <f>IF(Daten!$V136&lt;&gt;Daten!$W136,1,IF(Daten!$V136=14,1,0))</f>
        <v>1</v>
      </c>
      <c r="M136" s="189">
        <f>IF(Daten!$V136&lt;&gt;Daten!$W136,1,IF(Daten!$V136=16,1,0))</f>
        <v>0</v>
      </c>
      <c r="N136" s="189">
        <f>IF(Daten!$W136=17,1,0)</f>
        <v>0</v>
      </c>
      <c r="O136" s="190">
        <f ca="1">IF(Daten!$X136=Sprache!$A$70,1,0)</f>
        <v>0</v>
      </c>
      <c r="P136" s="191">
        <f>IF(AND(Daten!$AQ136&lt;=KINVARO!$AW$3,Daten!$AR136&gt;=KINVARO!$AW$3)=TRUE,1,0)</f>
        <v>1</v>
      </c>
      <c r="Q136" s="192">
        <f>IF(AND(Daten!$AA136&lt;=KINVARO!$AW$4,Daten!$AB136&gt;=KINVARO!$AW$4)=TRUE,1,0)</f>
        <v>0</v>
      </c>
      <c r="R136" s="192"/>
      <c r="S136" s="192">
        <f>IF(AND(Daten!$AD136&lt;=Limits!$I$70,Daten!$AE136&gt;=Limits!$I$70)=TRUE,1,0)</f>
        <v>0</v>
      </c>
      <c r="T136" s="193">
        <f ca="1">IF(Daten!$Y136=Sprache!$A$135,1,0)</f>
        <v>0</v>
      </c>
      <c r="U136" s="124" t="str">
        <f ca="1">Sprache!$A$62</f>
        <v>T-105 Коленчатый подъемник</v>
      </c>
      <c r="V136" s="194">
        <v>14</v>
      </c>
      <c r="W136" s="193">
        <v>14</v>
      </c>
      <c r="X136" s="187" t="str">
        <f ca="1">Sprache!$A$141</f>
        <v>Alu</v>
      </c>
      <c r="Y136" s="187" t="str">
        <f ca="1">Sprache!$A$136</f>
        <v>nein</v>
      </c>
      <c r="Z136" s="187" t="str">
        <f ca="1">Sprache!$A$79</f>
        <v>Створка</v>
      </c>
      <c r="AA136" s="187">
        <v>400</v>
      </c>
      <c r="AB136" s="124">
        <v>449</v>
      </c>
      <c r="AC136" s="187"/>
      <c r="AD136" s="195">
        <v>1.3</v>
      </c>
      <c r="AE136" s="196">
        <v>3.4</v>
      </c>
      <c r="AF136" s="263" t="str">
        <f>MID(Tabelle2[[#This Row],[bnr full]],1,4)</f>
        <v>F151</v>
      </c>
      <c r="AG136" s="264" t="str">
        <f>MID(Tabelle2[[#This Row],[bnr full]],5,3)</f>
        <v>145</v>
      </c>
      <c r="AH136" s="265" t="str">
        <f>MID(Tabelle2[[#This Row],[bnr full]],8,3)</f>
        <v>214</v>
      </c>
      <c r="AI136" s="264" t="str">
        <f>MID(Tabelle2[[#This Row],[bnr full]],11,3)</f>
        <v>201</v>
      </c>
      <c r="AJ136" s="252" t="str">
        <f>MID(Tabelle2[[#This Row],[bnr full]],11,3)</f>
        <v>201</v>
      </c>
      <c r="AK136" s="197" t="s">
        <v>787</v>
      </c>
      <c r="AL136" s="124" t="str">
        <f ca="1">Sprache!$A$112</f>
        <v>Правый</v>
      </c>
      <c r="AM136" s="187" t="str">
        <f ca="1">Sprache!$A$133</f>
        <v>1 коленчатый подъемник</v>
      </c>
      <c r="AN136" s="187" t="str">
        <f ca="1">Sprache!$A$125</f>
        <v>Пружина, стандарт</v>
      </c>
      <c r="AO136" s="187" t="str">
        <f ca="1">Sprache!$A$148</f>
        <v>Коленчатый подъемник Kinvaro T-105, правый</v>
      </c>
      <c r="AP136" s="187" t="s">
        <v>818</v>
      </c>
      <c r="AQ136" s="187">
        <f>Limits!$K$9</f>
        <v>200</v>
      </c>
      <c r="AR136" s="124">
        <v>1200</v>
      </c>
      <c r="AS136" s="187" t="str">
        <f ca="1">CONCATENATE("TIOMOS 110° ",Sprache!$A$150)</f>
        <v>TIOMOS 110° Шарнир для алюминиевой рамки</v>
      </c>
      <c r="AT136" s="187" t="str">
        <f ca="1">CONCATENATE("1D° ",Sprache!$A$149)</f>
        <v>1D° Монтажная плита</v>
      </c>
    </row>
    <row r="137" spans="1:55" s="4" customFormat="1" hidden="1" x14ac:dyDescent="0.25">
      <c r="A137" s="12" t="str">
        <f ca="1">IF(F137+G137+H137+I137+J137+D137+E137=3,IF(Tabelle2[[#This Row],[Kappe Weiß]]=Limits!$R$29,1,""),"")</f>
        <v/>
      </c>
      <c r="B137" s="12" t="str">
        <f ca="1">IF(G137+H137+I137+J137+E137+F137=2,IF(Tabelle2[[#This Row],[Kappe Weiß]]=Limits!$R$29,1,""),"")</f>
        <v/>
      </c>
      <c r="C137" s="291">
        <v>0</v>
      </c>
      <c r="D137" s="171">
        <f>IF(Limits!$P$12=TRUE,1,0)</f>
        <v>0</v>
      </c>
      <c r="E137" s="172">
        <f>IF(Daten!$P137+Daten!$Q137+Daten!$S137=3,1,0)</f>
        <v>0</v>
      </c>
      <c r="F137" s="173">
        <f ca="1">IF(AND(Limits!$Q$21=TRUE,Daten!O137=1)=TRUE,1,0)</f>
        <v>0</v>
      </c>
      <c r="G137" s="174">
        <f>IF(AND(Limits!$Q$25=TRUE,Daten!N137=1)=TRUE,1,0)</f>
        <v>0</v>
      </c>
      <c r="H137" s="174">
        <f>IF(AND(Limits!$Q$24=TRUE,Daten!M137=1)=TRUE,1,0)</f>
        <v>0</v>
      </c>
      <c r="I137" s="174">
        <f>IF(AND(Limits!$Q$23=TRUE,Daten!L137=1)=TRUE,1,0)</f>
        <v>0</v>
      </c>
      <c r="J137" s="174">
        <f>IF(AND(Limits!$Q$22=TRUE,Daten!K137=1)=TRUE,1,0)</f>
        <v>0</v>
      </c>
      <c r="K137" s="188">
        <f>IF(Daten!$V137=13,1,0)</f>
        <v>0</v>
      </c>
      <c r="L137" s="189">
        <f>IF(Daten!$V137&lt;&gt;Daten!$W137,1,IF(Daten!$V137=14,1,0))</f>
        <v>0</v>
      </c>
      <c r="M137" s="189">
        <f>IF(Daten!$V137&lt;&gt;Daten!$W137,1,IF(Daten!$V137=16,1,0))</f>
        <v>1</v>
      </c>
      <c r="N137" s="189">
        <f>IF(Daten!$W137=17,1,0)</f>
        <v>0</v>
      </c>
      <c r="O137" s="190">
        <f ca="1">IF(Daten!$X137=Sprache!$A$70,1,0)</f>
        <v>0</v>
      </c>
      <c r="P137" s="191">
        <f>IF(AND(Daten!$AQ137&lt;=KINVARO!$AW$3,Daten!$AR137&gt;=KINVARO!$AW$3)=TRUE,1,0)</f>
        <v>1</v>
      </c>
      <c r="Q137" s="192">
        <f>IF(AND(Daten!$AA137&lt;=KINVARO!$AW$4,Daten!$AB137&gt;=KINVARO!$AW$4)=TRUE,1,0)</f>
        <v>0</v>
      </c>
      <c r="R137" s="192"/>
      <c r="S137" s="192">
        <f>IF(AND(Daten!$AD137&lt;=Limits!$I$70,Daten!$AE137&gt;=Limits!$I$70)=TRUE,1,0)</f>
        <v>0</v>
      </c>
      <c r="T137" s="193">
        <f ca="1">IF(Daten!$Y137=Sprache!$A$135,1,0)</f>
        <v>0</v>
      </c>
      <c r="U137" s="124" t="str">
        <f ca="1">Sprache!$A$62</f>
        <v>T-105 Коленчатый подъемник</v>
      </c>
      <c r="V137" s="194">
        <v>16</v>
      </c>
      <c r="W137" s="193">
        <v>16</v>
      </c>
      <c r="X137" s="187" t="str">
        <f ca="1">Sprache!$A$141</f>
        <v>Alu</v>
      </c>
      <c r="Y137" s="187" t="str">
        <f ca="1">Sprache!$A$136</f>
        <v>nein</v>
      </c>
      <c r="Z137" s="187" t="str">
        <f ca="1">Sprache!$A$79</f>
        <v>Створка</v>
      </c>
      <c r="AA137" s="187">
        <v>400</v>
      </c>
      <c r="AB137" s="124">
        <v>449</v>
      </c>
      <c r="AC137" s="187"/>
      <c r="AD137" s="195">
        <v>1.3</v>
      </c>
      <c r="AE137" s="196">
        <v>3.4</v>
      </c>
      <c r="AF137" s="263" t="str">
        <f>MID(Tabelle2[[#This Row],[bnr full]],1,4)</f>
        <v>F151</v>
      </c>
      <c r="AG137" s="264" t="str">
        <f>MID(Tabelle2[[#This Row],[bnr full]],5,3)</f>
        <v>145</v>
      </c>
      <c r="AH137" s="265" t="str">
        <f>MID(Tabelle2[[#This Row],[bnr full]],8,3)</f>
        <v>216</v>
      </c>
      <c r="AI137" s="264" t="str">
        <f>MID(Tabelle2[[#This Row],[bnr full]],11,3)</f>
        <v>201</v>
      </c>
      <c r="AJ137" s="252" t="str">
        <f>MID(Tabelle2[[#This Row],[bnr full]],11,3)</f>
        <v>201</v>
      </c>
      <c r="AK137" s="197" t="s">
        <v>788</v>
      </c>
      <c r="AL137" s="124" t="str">
        <f ca="1">Sprache!$A$112</f>
        <v>Правый</v>
      </c>
      <c r="AM137" s="187" t="str">
        <f ca="1">Sprache!$A$133</f>
        <v>1 коленчатый подъемник</v>
      </c>
      <c r="AN137" s="187" t="str">
        <f ca="1">Sprache!$A$125</f>
        <v>Пружина, стандарт</v>
      </c>
      <c r="AO137" s="187" t="str">
        <f ca="1">Sprache!$A$148</f>
        <v>Коленчатый подъемник Kinvaro T-105, правый</v>
      </c>
      <c r="AP137" s="187" t="s">
        <v>819</v>
      </c>
      <c r="AQ137" s="187">
        <f>Limits!$K$9</f>
        <v>200</v>
      </c>
      <c r="AR137" s="124">
        <v>1200</v>
      </c>
      <c r="AS137" s="187" t="str">
        <f ca="1">CONCATENATE("TIOMOS 110° ",Sprache!$A$150)</f>
        <v>TIOMOS 110° Шарнир для алюминиевой рамки</v>
      </c>
      <c r="AT137" s="187" t="str">
        <f ca="1">CONCATENATE("1D° ",Sprache!$A$149)</f>
        <v>1D° Монтажная плита</v>
      </c>
    </row>
    <row r="138" spans="1:55" s="4" customFormat="1" hidden="1" x14ac:dyDescent="0.25">
      <c r="A138" s="12" t="str">
        <f ca="1">IF(F138+G138+H138+I138+J138+D138+E138=3,IF(Tabelle2[[#This Row],[Kappe Weiß]]=Limits!$R$29,1,""),"")</f>
        <v/>
      </c>
      <c r="B138" s="12" t="str">
        <f ca="1">IF(G138+H138+I138+J138+E138+F138=2,IF(Tabelle2[[#This Row],[Kappe Weiß]]=Limits!$R$29,1,""),"")</f>
        <v/>
      </c>
      <c r="C138" s="291">
        <v>0</v>
      </c>
      <c r="D138" s="171">
        <f>IF(Limits!$P$12=TRUE,1,0)</f>
        <v>0</v>
      </c>
      <c r="E138" s="172">
        <f>IF(Daten!$P138+Daten!$Q138+Daten!$S138=3,1,0)</f>
        <v>0</v>
      </c>
      <c r="F138" s="173">
        <f ca="1">IF(AND(Limits!$Q$21=TRUE,Daten!O138=1)=TRUE,1,0)</f>
        <v>1</v>
      </c>
      <c r="G138" s="174">
        <f ca="1">IF(AND(Limits!$Q$25=TRUE,Daten!N138=1)=TRUE,1,0)</f>
        <v>0</v>
      </c>
      <c r="H138" s="174">
        <f ca="1">IF(AND(Limits!$Q$24=TRUE,Daten!M138=1)=TRUE,1,0)</f>
        <v>0</v>
      </c>
      <c r="I138" s="174">
        <f ca="1">IF(AND(Limits!$Q$23=TRUE,Daten!L138=1)=TRUE,1,0)</f>
        <v>0</v>
      </c>
      <c r="J138" s="174">
        <f ca="1">IF(AND(Limits!$Q$22=TRUE,Daten!K138=1)=TRUE,1,0)</f>
        <v>0</v>
      </c>
      <c r="K138" s="188">
        <f ca="1">IF(Daten!$V138=13,1,0)</f>
        <v>0</v>
      </c>
      <c r="L138" s="189">
        <f ca="1">IF(Daten!$V138&lt;&gt;Daten!$W138,1,IF(Daten!$V138=14,1,0))</f>
        <v>0</v>
      </c>
      <c r="M138" s="189">
        <f ca="1">IF(Daten!$V138&lt;&gt;Daten!$W138,1,IF(Daten!$V138=16,1,0))</f>
        <v>0</v>
      </c>
      <c r="N138" s="189">
        <f ca="1">IF(Daten!$W138=17,1,0)</f>
        <v>0</v>
      </c>
      <c r="O138" s="190">
        <f ca="1">IF(Daten!$X138=Sprache!$A$70,1,0)</f>
        <v>1</v>
      </c>
      <c r="P138" s="191">
        <f>IF(AND(Daten!$AQ138&lt;=KINVARO!$AW$3,Daten!$AR138&gt;=KINVARO!$AW$3)=TRUE,1,0)</f>
        <v>1</v>
      </c>
      <c r="Q138" s="192">
        <f>IF(AND(Daten!$AA138&lt;=KINVARO!$AW$4,Daten!$AB138&gt;=KINVARO!$AW$4)=TRUE,1,0)</f>
        <v>0</v>
      </c>
      <c r="R138" s="192"/>
      <c r="S138" s="192">
        <f>IF(AND(Daten!$AD138&lt;=Limits!$I$70,Daten!$AE138&gt;=Limits!$I$70)=TRUE,1,0)</f>
        <v>0</v>
      </c>
      <c r="T138" s="193">
        <f ca="1">IF(Daten!$Y138=Sprache!$A$135,1,0)</f>
        <v>0</v>
      </c>
      <c r="U138" s="124" t="str">
        <f ca="1">Sprache!$A$62</f>
        <v>T-105 Коленчатый подъемник</v>
      </c>
      <c r="V138" s="194" t="str">
        <f ca="1">Sprache!$A$74</f>
        <v>var</v>
      </c>
      <c r="W138" s="193" t="str">
        <f ca="1">Sprache!$A$74</f>
        <v>var</v>
      </c>
      <c r="X138" s="187" t="str">
        <f ca="1">Sprache!$A$70</f>
        <v>соединение с древесиной</v>
      </c>
      <c r="Y138" s="187" t="str">
        <f ca="1">Sprache!$A$136</f>
        <v>nein</v>
      </c>
      <c r="Z138" s="187" t="str">
        <f ca="1">Sprache!$A$79</f>
        <v>Створка</v>
      </c>
      <c r="AA138" s="187">
        <v>400</v>
      </c>
      <c r="AB138" s="124">
        <v>449</v>
      </c>
      <c r="AC138" s="187"/>
      <c r="AD138" s="195">
        <v>2.6</v>
      </c>
      <c r="AE138" s="196">
        <v>6.8</v>
      </c>
      <c r="AF138" s="263" t="str">
        <f>MID(Tabelle2[[#This Row],[bnr full]],1,4)</f>
        <v>F151</v>
      </c>
      <c r="AG138" s="264" t="str">
        <f>MID(Tabelle2[[#This Row],[bnr full]],5,3)</f>
        <v>145</v>
      </c>
      <c r="AH138" s="265" t="str">
        <f>MID(Tabelle2[[#This Row],[bnr full]],8,3)</f>
        <v>220</v>
      </c>
      <c r="AI138" s="264" t="str">
        <f>MID(Tabelle2[[#This Row],[bnr full]],11,3)</f>
        <v>201</v>
      </c>
      <c r="AJ138" s="252" t="str">
        <f>MID(Tabelle2[[#This Row],[bnr full]],11,3)</f>
        <v>201</v>
      </c>
      <c r="AK138" s="197" t="s">
        <v>785</v>
      </c>
      <c r="AL138" s="124" t="str">
        <f ca="1">Sprache!$A$112</f>
        <v>Правый</v>
      </c>
      <c r="AM138" s="187" t="str">
        <f ca="1">Sprache!$A$134</f>
        <v>2 коленчатых подъемника</v>
      </c>
      <c r="AN138" s="187" t="str">
        <f ca="1">Sprache!$A$125</f>
        <v>Пружина, стандарт</v>
      </c>
      <c r="AO138" s="187" t="str">
        <f ca="1">Sprache!$A$148</f>
        <v>Коленчатый подъемник Kinvaro T-105, правый</v>
      </c>
      <c r="AP138" s="187" t="s">
        <v>816</v>
      </c>
      <c r="AQ138" s="187">
        <f>Limits!$K$9</f>
        <v>200</v>
      </c>
      <c r="AR138" s="124">
        <v>1200</v>
      </c>
      <c r="AS138" s="187" t="str">
        <f ca="1">CONCATENATE("TIOMOS 110° ",Sprache!$A$98)</f>
        <v>TIOMOS 110° Шарнир</v>
      </c>
      <c r="AT138" s="187" t="str">
        <f ca="1">CONCATENATE("1D° ",Sprache!$A$149)</f>
        <v>1D° Монтажная плита</v>
      </c>
    </row>
    <row r="139" spans="1:55" s="5" customFormat="1" hidden="1" x14ac:dyDescent="0.25">
      <c r="A139" s="12" t="str">
        <f ca="1">IF(F139+G139+H139+I139+J139+D139+E139=3,IF(Tabelle2[[#This Row],[Kappe Weiß]]=Limits!$R$29,1,""),"")</f>
        <v/>
      </c>
      <c r="B139" s="12" t="str">
        <f ca="1">IF(G139+H139+I139+J139+E139+F139=2,IF(Tabelle2[[#This Row],[Kappe Weiß]]=Limits!$R$29,1,""),"")</f>
        <v/>
      </c>
      <c r="C139" s="291">
        <v>0</v>
      </c>
      <c r="D139" s="171">
        <f>IF(Limits!$P$12=TRUE,1,0)</f>
        <v>0</v>
      </c>
      <c r="E139" s="172">
        <f>IF(Daten!$P139+Daten!$Q139+Daten!$S139=3,1,0)</f>
        <v>0</v>
      </c>
      <c r="F139" s="173">
        <f ca="1">IF(AND(Limits!$Q$21=TRUE,Daten!O139=1)=TRUE,1,0)</f>
        <v>1</v>
      </c>
      <c r="G139" s="174">
        <f ca="1">IF(AND(Limits!$Q$25=TRUE,Daten!N139=1)=TRUE,1,0)</f>
        <v>0</v>
      </c>
      <c r="H139" s="174">
        <f ca="1">IF(AND(Limits!$Q$24=TRUE,Daten!M139=1)=TRUE,1,0)</f>
        <v>0</v>
      </c>
      <c r="I139" s="174">
        <f ca="1">IF(AND(Limits!$Q$23=TRUE,Daten!L139=1)=TRUE,1,0)</f>
        <v>0</v>
      </c>
      <c r="J139" s="174">
        <f ca="1">IF(AND(Limits!$Q$22=TRUE,Daten!K139=1)=TRUE,1,0)</f>
        <v>0</v>
      </c>
      <c r="K139" s="188">
        <f ca="1">IF(Daten!$V139=13,1,0)</f>
        <v>0</v>
      </c>
      <c r="L139" s="189">
        <f ca="1">IF(Daten!$V139&lt;&gt;Daten!$W139,1,IF(Daten!$V139=14,1,0))</f>
        <v>0</v>
      </c>
      <c r="M139" s="189">
        <f ca="1">IF(Daten!$V139&lt;&gt;Daten!$W139,1,IF(Daten!$V139=16,1,0))</f>
        <v>0</v>
      </c>
      <c r="N139" s="189">
        <f ca="1">IF(Daten!$W139=17,1,0)</f>
        <v>0</v>
      </c>
      <c r="O139" s="190">
        <f ca="1">IF(Daten!$X139=Sprache!$A$70,1,0)</f>
        <v>1</v>
      </c>
      <c r="P139" s="191">
        <f>IF(AND(Daten!$AQ139&lt;=KINVARO!$AW$3,Daten!$AR139&gt;=KINVARO!$AW$3)=TRUE,1,0)</f>
        <v>1</v>
      </c>
      <c r="Q139" s="192">
        <f>IF(AND(Daten!$AA139&lt;=KINVARO!$AW$4,Daten!$AB139&gt;=KINVARO!$AW$4)=TRUE,1,0)</f>
        <v>0</v>
      </c>
      <c r="R139" s="192"/>
      <c r="S139" s="192">
        <f>IF(AND(Daten!$AD139&lt;=Limits!$I$70,Daten!$AE139&gt;=Limits!$I$70)=TRUE,1,0)</f>
        <v>0</v>
      </c>
      <c r="T139" s="193">
        <f ca="1">IF(Daten!$Y139=Sprache!$A$135,1,0)</f>
        <v>0</v>
      </c>
      <c r="U139" s="124" t="str">
        <f ca="1">Sprache!$A$62</f>
        <v>T-105 Коленчатый подъемник</v>
      </c>
      <c r="V139" s="194" t="str">
        <f ca="1">Sprache!$A$74</f>
        <v>var</v>
      </c>
      <c r="W139" s="193" t="str">
        <f ca="1">Sprache!$A$74</f>
        <v>var</v>
      </c>
      <c r="X139" s="187" t="str">
        <f ca="1">Sprache!$A$70</f>
        <v>соединение с древесиной</v>
      </c>
      <c r="Y139" s="187" t="str">
        <f ca="1">Sprache!$A$136</f>
        <v>nein</v>
      </c>
      <c r="Z139" s="187" t="str">
        <f ca="1">Sprache!$A$79</f>
        <v>Створка</v>
      </c>
      <c r="AA139" s="187">
        <v>400</v>
      </c>
      <c r="AB139" s="124">
        <v>449</v>
      </c>
      <c r="AC139" s="187"/>
      <c r="AD139" s="195">
        <v>4.3</v>
      </c>
      <c r="AE139" s="196">
        <v>8.1</v>
      </c>
      <c r="AF139" s="263" t="str">
        <f>MID(Tabelle2[[#This Row],[bnr full]],1,4)</f>
        <v>F151</v>
      </c>
      <c r="AG139" s="264" t="str">
        <f>MID(Tabelle2[[#This Row],[bnr full]],5,3)</f>
        <v>145</v>
      </c>
      <c r="AH139" s="265" t="str">
        <f>MID(Tabelle2[[#This Row],[bnr full]],8,3)</f>
        <v>218</v>
      </c>
      <c r="AI139" s="264" t="str">
        <f>MID(Tabelle2[[#This Row],[bnr full]],11,3)</f>
        <v>201</v>
      </c>
      <c r="AJ139" s="252" t="str">
        <f>MID(Tabelle2[[#This Row],[bnr full]],11,3)</f>
        <v>201</v>
      </c>
      <c r="AK139" s="197" t="s">
        <v>786</v>
      </c>
      <c r="AL139" s="124" t="str">
        <f ca="1">Sprache!$A$112</f>
        <v>Правый</v>
      </c>
      <c r="AM139" s="187" t="str">
        <f ca="1">Sprache!$A$134</f>
        <v>2 коленчатых подъемника</v>
      </c>
      <c r="AN139" s="187" t="str">
        <f ca="1">Sprache!$A$126</f>
        <v>Пружина, черная</v>
      </c>
      <c r="AO139" s="187" t="str">
        <f ca="1">Sprache!$A$148</f>
        <v>Коленчатый подъемник Kinvaro T-105, правый</v>
      </c>
      <c r="AP139" s="187" t="s">
        <v>817</v>
      </c>
      <c r="AQ139" s="187">
        <f>Limits!$K$9</f>
        <v>200</v>
      </c>
      <c r="AR139" s="124">
        <v>1200</v>
      </c>
      <c r="AS139" s="187" t="str">
        <f ca="1">CONCATENATE("TIOMOS 110° ",Sprache!$A$98)</f>
        <v>TIOMOS 110° Шарнир</v>
      </c>
      <c r="AT139" s="187" t="str">
        <f ca="1">CONCATENATE("1D° ",Sprache!$A$149)</f>
        <v>1D° Монтажная плита</v>
      </c>
    </row>
    <row r="140" spans="1:55" s="4" customFormat="1" hidden="1" x14ac:dyDescent="0.25">
      <c r="A140" s="12" t="str">
        <f ca="1">IF(F140+G140+H140+I140+J140+D140+E140=3,IF(Tabelle2[[#This Row],[Kappe Weiß]]=Limits!$R$29,1,""),"")</f>
        <v/>
      </c>
      <c r="B140" s="12" t="str">
        <f ca="1">IF(G140+H140+I140+J140+E140+F140=2,IF(Tabelle2[[#This Row],[Kappe Weiß]]=Limits!$R$29,1,""),"")</f>
        <v/>
      </c>
      <c r="C140" s="291">
        <v>0</v>
      </c>
      <c r="D140" s="171">
        <f>IF(Limits!$P$12=TRUE,1,0)</f>
        <v>0</v>
      </c>
      <c r="E140" s="172">
        <f>IF(Daten!$P140+Daten!$Q140+Daten!$S140=3,1,0)</f>
        <v>0</v>
      </c>
      <c r="F140" s="173">
        <f ca="1">IF(AND(Limits!$Q$21=TRUE,Daten!O140=1)=TRUE,1,0)</f>
        <v>0</v>
      </c>
      <c r="G140" s="174">
        <f>IF(AND(Limits!$Q$25=TRUE,Daten!N140=1)=TRUE,1,0)</f>
        <v>0</v>
      </c>
      <c r="H140" s="174">
        <f>IF(AND(Limits!$Q$24=TRUE,Daten!M140=1)=TRUE,1,0)</f>
        <v>0</v>
      </c>
      <c r="I140" s="174">
        <f>IF(AND(Limits!$Q$23=TRUE,Daten!L140=1)=TRUE,1,0)</f>
        <v>0</v>
      </c>
      <c r="J140" s="174">
        <f>IF(AND(Limits!$Q$22=TRUE,Daten!K140=1)=TRUE,1,0)</f>
        <v>0</v>
      </c>
      <c r="K140" s="188">
        <f>IF(Daten!$V140=13,1,0)</f>
        <v>0</v>
      </c>
      <c r="L140" s="189">
        <f>IF(Daten!$V140&lt;&gt;Daten!$W140,1,IF(Daten!$V140=14,1,0))</f>
        <v>1</v>
      </c>
      <c r="M140" s="189">
        <f>IF(Daten!$V140&lt;&gt;Daten!$W140,1,IF(Daten!$V140=16,1,0))</f>
        <v>0</v>
      </c>
      <c r="N140" s="189">
        <f>IF(Daten!$W140=17,1,0)</f>
        <v>0</v>
      </c>
      <c r="O140" s="190">
        <f ca="1">IF(Daten!$X140=Sprache!$A$70,1,0)</f>
        <v>0</v>
      </c>
      <c r="P140" s="191">
        <f>IF(AND(Daten!$AQ140&lt;=KINVARO!$AW$3,Daten!$AR140&gt;=KINVARO!$AW$3)=TRUE,1,0)</f>
        <v>1</v>
      </c>
      <c r="Q140" s="192">
        <f>IF(AND(Daten!$AA140&lt;=KINVARO!$AW$4,Daten!$AB140&gt;=KINVARO!$AW$4)=TRUE,1,0)</f>
        <v>0</v>
      </c>
      <c r="R140" s="192"/>
      <c r="S140" s="192">
        <f>IF(AND(Daten!$AD140&lt;=Limits!$I$70,Daten!$AE140&gt;=Limits!$I$70)=TRUE,1,0)</f>
        <v>0</v>
      </c>
      <c r="T140" s="193">
        <f ca="1">IF(Daten!$Y140=Sprache!$A$135,1,0)</f>
        <v>0</v>
      </c>
      <c r="U140" s="124" t="str">
        <f ca="1">Sprache!$A$62</f>
        <v>T-105 Коленчатый подъемник</v>
      </c>
      <c r="V140" s="194">
        <v>14</v>
      </c>
      <c r="W140" s="193">
        <v>14</v>
      </c>
      <c r="X140" s="187" t="str">
        <f ca="1">Sprache!$A$141</f>
        <v>Alu</v>
      </c>
      <c r="Y140" s="187" t="str">
        <f ca="1">Sprache!$A$136</f>
        <v>nein</v>
      </c>
      <c r="Z140" s="187" t="str">
        <f ca="1">Sprache!$A$79</f>
        <v>Створка</v>
      </c>
      <c r="AA140" s="187">
        <v>400</v>
      </c>
      <c r="AB140" s="124">
        <v>449</v>
      </c>
      <c r="AC140" s="187"/>
      <c r="AD140" s="195">
        <v>2.6</v>
      </c>
      <c r="AE140" s="196">
        <v>6.8</v>
      </c>
      <c r="AF140" s="263" t="str">
        <f>MID(Tabelle2[[#This Row],[bnr full]],1,4)</f>
        <v>F151</v>
      </c>
      <c r="AG140" s="264" t="str">
        <f>MID(Tabelle2[[#This Row],[bnr full]],5,3)</f>
        <v>145</v>
      </c>
      <c r="AH140" s="265" t="str">
        <f>MID(Tabelle2[[#This Row],[bnr full]],8,3)</f>
        <v>214</v>
      </c>
      <c r="AI140" s="264" t="str">
        <f>MID(Tabelle2[[#This Row],[bnr full]],11,3)</f>
        <v>201</v>
      </c>
      <c r="AJ140" s="252" t="str">
        <f>MID(Tabelle2[[#This Row],[bnr full]],11,3)</f>
        <v>201</v>
      </c>
      <c r="AK140" s="197" t="s">
        <v>787</v>
      </c>
      <c r="AL140" s="124" t="str">
        <f ca="1">Sprache!$A$112</f>
        <v>Правый</v>
      </c>
      <c r="AM140" s="187" t="str">
        <f ca="1">Sprache!$A$134</f>
        <v>2 коленчатых подъемника</v>
      </c>
      <c r="AN140" s="187" t="str">
        <f ca="1">Sprache!$A$125</f>
        <v>Пружина, стандарт</v>
      </c>
      <c r="AO140" s="187" t="str">
        <f ca="1">Sprache!$A$148</f>
        <v>Коленчатый подъемник Kinvaro T-105, правый</v>
      </c>
      <c r="AP140" s="187" t="s">
        <v>818</v>
      </c>
      <c r="AQ140" s="187">
        <f>Limits!$K$9</f>
        <v>200</v>
      </c>
      <c r="AR140" s="124">
        <v>1200</v>
      </c>
      <c r="AS140" s="187" t="str">
        <f ca="1">CONCATENATE("TIOMOS 110° ",Sprache!$A$150)</f>
        <v>TIOMOS 110° Шарнир для алюминиевой рамки</v>
      </c>
      <c r="AT140" s="187" t="str">
        <f ca="1">CONCATENATE("1D° ",Sprache!$A$149)</f>
        <v>1D° Монтажная плита</v>
      </c>
    </row>
    <row r="141" spans="1:55" s="4" customFormat="1" hidden="1" x14ac:dyDescent="0.25">
      <c r="A141" s="12" t="str">
        <f ca="1">IF(F141+G141+H141+I141+J141+D141+E141=3,IF(Tabelle2[[#This Row],[Kappe Weiß]]=Limits!$R$29,1,""),"")</f>
        <v/>
      </c>
      <c r="B141" s="12" t="str">
        <f ca="1">IF(G141+H141+I141+J141+E141+F141=2,IF(Tabelle2[[#This Row],[Kappe Weiß]]=Limits!$R$29,1,""),"")</f>
        <v/>
      </c>
      <c r="C141" s="291">
        <v>0</v>
      </c>
      <c r="D141" s="171">
        <f>IF(Limits!$P$12=TRUE,1,0)</f>
        <v>0</v>
      </c>
      <c r="E141" s="172">
        <f>IF(Daten!$P141+Daten!$Q141+Daten!$S141=3,1,0)</f>
        <v>0</v>
      </c>
      <c r="F141" s="173">
        <f ca="1">IF(AND(Limits!$Q$21=TRUE,Daten!O141=1)=TRUE,1,0)</f>
        <v>0</v>
      </c>
      <c r="G141" s="174">
        <f>IF(AND(Limits!$Q$25=TRUE,Daten!N141=1)=TRUE,1,0)</f>
        <v>0</v>
      </c>
      <c r="H141" s="174">
        <f>IF(AND(Limits!$Q$24=TRUE,Daten!M141=1)=TRUE,1,0)</f>
        <v>0</v>
      </c>
      <c r="I141" s="174">
        <f>IF(AND(Limits!$Q$23=TRUE,Daten!L141=1)=TRUE,1,0)</f>
        <v>0</v>
      </c>
      <c r="J141" s="174">
        <f>IF(AND(Limits!$Q$22=TRUE,Daten!K141=1)=TRUE,1,0)</f>
        <v>0</v>
      </c>
      <c r="K141" s="188">
        <f>IF(Daten!$V141=13,1,0)</f>
        <v>0</v>
      </c>
      <c r="L141" s="189">
        <f>IF(Daten!$V141&lt;&gt;Daten!$W141,1,IF(Daten!$V141=14,1,0))</f>
        <v>0</v>
      </c>
      <c r="M141" s="189">
        <f>IF(Daten!$V141&lt;&gt;Daten!$W141,1,IF(Daten!$V141=16,1,0))</f>
        <v>1</v>
      </c>
      <c r="N141" s="189">
        <f>IF(Daten!$W141=17,1,0)</f>
        <v>0</v>
      </c>
      <c r="O141" s="190">
        <f ca="1">IF(Daten!$X141=Sprache!$A$70,1,0)</f>
        <v>0</v>
      </c>
      <c r="P141" s="191">
        <f>IF(AND(Daten!$AQ141&lt;=KINVARO!$AW$3,Daten!$AR141&gt;=KINVARO!$AW$3)=TRUE,1,0)</f>
        <v>1</v>
      </c>
      <c r="Q141" s="192">
        <f>IF(AND(Daten!$AA141&lt;=KINVARO!$AW$4,Daten!$AB141&gt;=KINVARO!$AW$4)=TRUE,1,0)</f>
        <v>0</v>
      </c>
      <c r="R141" s="192"/>
      <c r="S141" s="192">
        <f>IF(AND(Daten!$AD141&lt;=Limits!$I$70,Daten!$AE141&gt;=Limits!$I$70)=TRUE,1,0)</f>
        <v>0</v>
      </c>
      <c r="T141" s="193">
        <f ca="1">IF(Daten!$Y141=Sprache!$A$135,1,0)</f>
        <v>0</v>
      </c>
      <c r="U141" s="124" t="str">
        <f ca="1">Sprache!$A$62</f>
        <v>T-105 Коленчатый подъемник</v>
      </c>
      <c r="V141" s="194">
        <v>16</v>
      </c>
      <c r="W141" s="193">
        <v>16</v>
      </c>
      <c r="X141" s="187" t="str">
        <f ca="1">Sprache!$A$141</f>
        <v>Alu</v>
      </c>
      <c r="Y141" s="187" t="str">
        <f ca="1">Sprache!$A$136</f>
        <v>nein</v>
      </c>
      <c r="Z141" s="187" t="str">
        <f ca="1">Sprache!$A$79</f>
        <v>Створка</v>
      </c>
      <c r="AA141" s="187">
        <v>400</v>
      </c>
      <c r="AB141" s="124">
        <v>449</v>
      </c>
      <c r="AC141" s="187"/>
      <c r="AD141" s="195">
        <v>2.6</v>
      </c>
      <c r="AE141" s="196">
        <v>6.8</v>
      </c>
      <c r="AF141" s="263" t="str">
        <f>MID(Tabelle2[[#This Row],[bnr full]],1,4)</f>
        <v>F151</v>
      </c>
      <c r="AG141" s="264" t="str">
        <f>MID(Tabelle2[[#This Row],[bnr full]],5,3)</f>
        <v>145</v>
      </c>
      <c r="AH141" s="265" t="str">
        <f>MID(Tabelle2[[#This Row],[bnr full]],8,3)</f>
        <v>216</v>
      </c>
      <c r="AI141" s="264" t="str">
        <f>MID(Tabelle2[[#This Row],[bnr full]],11,3)</f>
        <v>201</v>
      </c>
      <c r="AJ141" s="252" t="str">
        <f>MID(Tabelle2[[#This Row],[bnr full]],11,3)</f>
        <v>201</v>
      </c>
      <c r="AK141" s="197" t="s">
        <v>788</v>
      </c>
      <c r="AL141" s="124" t="str">
        <f ca="1">Sprache!$A$112</f>
        <v>Правый</v>
      </c>
      <c r="AM141" s="187" t="str">
        <f ca="1">Sprache!$A$134</f>
        <v>2 коленчатых подъемника</v>
      </c>
      <c r="AN141" s="187" t="str">
        <f ca="1">Sprache!$A$125</f>
        <v>Пружина, стандарт</v>
      </c>
      <c r="AO141" s="187" t="str">
        <f ca="1">Sprache!$A$148</f>
        <v>Коленчатый подъемник Kinvaro T-105, правый</v>
      </c>
      <c r="AP141" s="187" t="s">
        <v>819</v>
      </c>
      <c r="AQ141" s="187">
        <f>Limits!$K$9</f>
        <v>200</v>
      </c>
      <c r="AR141" s="124">
        <v>1200</v>
      </c>
      <c r="AS141" s="187" t="str">
        <f ca="1">CONCATENATE("TIOMOS 110° ",Sprache!$A$150)</f>
        <v>TIOMOS 110° Шарнир для алюминиевой рамки</v>
      </c>
      <c r="AT141" s="187" t="str">
        <f ca="1">CONCATENATE("1D° ",Sprache!$A$149)</f>
        <v>1D° Монтажная плита</v>
      </c>
    </row>
    <row r="142" spans="1:55" s="4" customFormat="1" hidden="1" x14ac:dyDescent="0.25">
      <c r="A142" s="12" t="str">
        <f ca="1">IF(F142+G142+H142+I142+J142+D142+E142=3,IF(Tabelle2[[#This Row],[Kappe Weiß]]=Limits!$R$29,1,""),"")</f>
        <v/>
      </c>
      <c r="B142" s="12" t="str">
        <f ca="1">IF(G142+H142+I142+J142+E142+F142=2,IF(Tabelle2[[#This Row],[Kappe Weiß]]=Limits!$R$29,1,""),"")</f>
        <v/>
      </c>
      <c r="C142" s="292">
        <v>0</v>
      </c>
      <c r="D142" s="171">
        <f>IF(Limits!$P$12=TRUE,1,0)</f>
        <v>0</v>
      </c>
      <c r="E142" s="172">
        <f>IF(Daten!$P142+Daten!$Q142+Daten!$S142=3,1,0)</f>
        <v>0</v>
      </c>
      <c r="F142" s="173">
        <f ca="1">IF(AND(Limits!$Q$21=TRUE,Daten!O142=1)=TRUE,1,0)</f>
        <v>1</v>
      </c>
      <c r="G142" s="174">
        <f ca="1">IF(AND(Limits!$Q$25=TRUE,Daten!N142=1)=TRUE,1,0)</f>
        <v>0</v>
      </c>
      <c r="H142" s="174">
        <f ca="1">IF(AND(Limits!$Q$24=TRUE,Daten!M142=1)=TRUE,1,0)</f>
        <v>0</v>
      </c>
      <c r="I142" s="174">
        <f ca="1">IF(AND(Limits!$Q$23=TRUE,Daten!L142=1)=TRUE,1,0)</f>
        <v>0</v>
      </c>
      <c r="J142" s="174">
        <f ca="1">IF(AND(Limits!$Q$22=TRUE,Daten!K142=1)=TRUE,1,0)</f>
        <v>0</v>
      </c>
      <c r="K142" s="188">
        <f ca="1">IF(Daten!$V142=13,1,0)</f>
        <v>0</v>
      </c>
      <c r="L142" s="189">
        <f ca="1">IF(Daten!$V142&lt;&gt;Daten!$W142,1,IF(Daten!$V142=14,1,0))</f>
        <v>0</v>
      </c>
      <c r="M142" s="189">
        <f ca="1">IF(Daten!$V142&lt;&gt;Daten!$W142,1,IF(Daten!$V142=16,1,0))</f>
        <v>0</v>
      </c>
      <c r="N142" s="189">
        <f ca="1">IF(Daten!$W142=17,1,0)</f>
        <v>0</v>
      </c>
      <c r="O142" s="190">
        <f ca="1">IF(Daten!$X142=Sprache!$A$70,1,0)</f>
        <v>1</v>
      </c>
      <c r="P142" s="198">
        <f>IF(AND(Daten!$AQ142&lt;=KINVARO!$AW$3,Daten!$AR142&gt;=KINVARO!$AW$3)=TRUE,1,0)</f>
        <v>1</v>
      </c>
      <c r="Q142" s="199">
        <f>IF(AND(Daten!$AA142&lt;=KINVARO!$AW$4,Daten!$AB142&gt;=KINVARO!$AW$4)=TRUE,1,0)</f>
        <v>0</v>
      </c>
      <c r="R142" s="199"/>
      <c r="S142" s="199">
        <f>IF(AND(Daten!$AD142&lt;=Limits!$I$70,Daten!$AE142&gt;=Limits!$I$70)=TRUE,1,0)</f>
        <v>0</v>
      </c>
      <c r="T142" s="200">
        <f ca="1">IF(Daten!$Y142=Sprache!$A$135,1,0)</f>
        <v>0</v>
      </c>
      <c r="U142" s="201" t="str">
        <f ca="1">Sprache!$A$62</f>
        <v>T-105 Коленчатый подъемник</v>
      </c>
      <c r="V142" s="202" t="str">
        <f ca="1">Sprache!$A$74</f>
        <v>var</v>
      </c>
      <c r="W142" s="200" t="str">
        <f ca="1">Sprache!$A$74</f>
        <v>var</v>
      </c>
      <c r="X142" s="203" t="str">
        <f ca="1">Sprache!$A$70</f>
        <v>соединение с древесиной</v>
      </c>
      <c r="Y142" s="187" t="str">
        <f ca="1">Sprache!$A$136</f>
        <v>nein</v>
      </c>
      <c r="Z142" s="203" t="str">
        <f ca="1">Sprache!$A$79</f>
        <v>Створка</v>
      </c>
      <c r="AA142" s="203">
        <v>450</v>
      </c>
      <c r="AB142" s="201">
        <v>500</v>
      </c>
      <c r="AC142" s="203"/>
      <c r="AD142" s="204">
        <v>1.2</v>
      </c>
      <c r="AE142" s="205">
        <v>3</v>
      </c>
      <c r="AF142" s="266" t="str">
        <f>MID(Tabelle2[[#This Row],[bnr full]],1,4)</f>
        <v>F151</v>
      </c>
      <c r="AG142" s="267" t="str">
        <f>MID(Tabelle2[[#This Row],[bnr full]],5,3)</f>
        <v>145</v>
      </c>
      <c r="AH142" s="268" t="str">
        <f>MID(Tabelle2[[#This Row],[bnr full]],8,3)</f>
        <v>220</v>
      </c>
      <c r="AI142" s="267" t="str">
        <f>MID(Tabelle2[[#This Row],[bnr full]],11,3)</f>
        <v>201</v>
      </c>
      <c r="AJ142" s="253" t="str">
        <f>MID(Tabelle2[[#This Row],[bnr full]],11,3)</f>
        <v>201</v>
      </c>
      <c r="AK142" s="206" t="s">
        <v>785</v>
      </c>
      <c r="AL142" s="201" t="str">
        <f ca="1">Sprache!$A$112</f>
        <v>Правый</v>
      </c>
      <c r="AM142" s="203" t="str">
        <f ca="1">Sprache!$A$133</f>
        <v>1 коленчатый подъемник</v>
      </c>
      <c r="AN142" s="203" t="str">
        <f ca="1">Sprache!$A$125</f>
        <v>Пружина, стандарт</v>
      </c>
      <c r="AO142" s="203" t="str">
        <f ca="1">Sprache!$A$148</f>
        <v>Коленчатый подъемник Kinvaro T-105, правый</v>
      </c>
      <c r="AP142" s="203" t="s">
        <v>816</v>
      </c>
      <c r="AQ142" s="203">
        <f>Limits!$K$9</f>
        <v>200</v>
      </c>
      <c r="AR142" s="201">
        <v>1200</v>
      </c>
      <c r="AS142" s="187" t="str">
        <f ca="1">CONCATENATE("TIOMOS 110° ",Sprache!$A$98)</f>
        <v>TIOMOS 110° Шарнир</v>
      </c>
      <c r="AT142" s="187" t="str">
        <f ca="1">CONCATENATE("1D° ",Sprache!$A$149)</f>
        <v>1D° Монтажная плита</v>
      </c>
    </row>
    <row r="143" spans="1:55" s="4" customFormat="1" hidden="1" x14ac:dyDescent="0.25">
      <c r="A143" s="12" t="str">
        <f ca="1">IF(F143+G143+H143+I143+J143+D143+E143=3,IF(Tabelle2[[#This Row],[Kappe Weiß]]=Limits!$R$29,1,""),"")</f>
        <v/>
      </c>
      <c r="B143" s="12" t="str">
        <f ca="1">IF(G143+H143+I143+J143+E143+F143=2,IF(Tabelle2[[#This Row],[Kappe Weiß]]=Limits!$R$29,1,""),"")</f>
        <v/>
      </c>
      <c r="C143" s="291">
        <v>0</v>
      </c>
      <c r="D143" s="171">
        <f>IF(Limits!$P$12=TRUE,1,0)</f>
        <v>0</v>
      </c>
      <c r="E143" s="172">
        <f>IF(Daten!$P143+Daten!$Q143+Daten!$S143=3,1,0)</f>
        <v>0</v>
      </c>
      <c r="F143" s="173">
        <f ca="1">IF(AND(Limits!$Q$21=TRUE,Daten!O143=1)=TRUE,1,0)</f>
        <v>1</v>
      </c>
      <c r="G143" s="174">
        <f ca="1">IF(AND(Limits!$Q$25=TRUE,Daten!N143=1)=TRUE,1,0)</f>
        <v>0</v>
      </c>
      <c r="H143" s="174">
        <f ca="1">IF(AND(Limits!$Q$24=TRUE,Daten!M143=1)=TRUE,1,0)</f>
        <v>0</v>
      </c>
      <c r="I143" s="174">
        <f ca="1">IF(AND(Limits!$Q$23=TRUE,Daten!L143=1)=TRUE,1,0)</f>
        <v>0</v>
      </c>
      <c r="J143" s="174">
        <f ca="1">IF(AND(Limits!$Q$22=TRUE,Daten!K143=1)=TRUE,1,0)</f>
        <v>0</v>
      </c>
      <c r="K143" s="188">
        <f ca="1">IF(Daten!$V143=13,1,0)</f>
        <v>0</v>
      </c>
      <c r="L143" s="189">
        <f ca="1">IF(Daten!$V143&lt;&gt;Daten!$W143,1,IF(Daten!$V143=14,1,0))</f>
        <v>0</v>
      </c>
      <c r="M143" s="189">
        <f ca="1">IF(Daten!$V143&lt;&gt;Daten!$W143,1,IF(Daten!$V143=16,1,0))</f>
        <v>0</v>
      </c>
      <c r="N143" s="189">
        <f ca="1">IF(Daten!$W143=17,1,0)</f>
        <v>0</v>
      </c>
      <c r="O143" s="190">
        <f ca="1">IF(Daten!$X143=Sprache!$A$70,1,0)</f>
        <v>1</v>
      </c>
      <c r="P143" s="191">
        <f>IF(AND(Daten!$AQ143&lt;=KINVARO!$AW$3,Daten!$AR143&gt;=KINVARO!$AW$3)=TRUE,1,0)</f>
        <v>1</v>
      </c>
      <c r="Q143" s="192">
        <f>IF(AND(Daten!$AA143&lt;=KINVARO!$AW$4,Daten!$AB143&gt;=KINVARO!$AW$4)=TRUE,1,0)</f>
        <v>0</v>
      </c>
      <c r="R143" s="192"/>
      <c r="S143" s="192">
        <f>IF(AND(Daten!$AD143&lt;=Limits!$I$70,Daten!$AE143&gt;=Limits!$I$70)=TRUE,1,0)</f>
        <v>0</v>
      </c>
      <c r="T143" s="193">
        <f ca="1">IF(Daten!$Y143=Sprache!$A$135,1,0)</f>
        <v>0</v>
      </c>
      <c r="U143" s="124" t="str">
        <f ca="1">Sprache!$A$62</f>
        <v>T-105 Коленчатый подъемник</v>
      </c>
      <c r="V143" s="194" t="str">
        <f ca="1">Sprache!$A$74</f>
        <v>var</v>
      </c>
      <c r="W143" s="193" t="str">
        <f ca="1">Sprache!$A$74</f>
        <v>var</v>
      </c>
      <c r="X143" s="187" t="str">
        <f ca="1">Sprache!$A$70</f>
        <v>соединение с древесиной</v>
      </c>
      <c r="Y143" s="187" t="str">
        <f ca="1">Sprache!$A$136</f>
        <v>nein</v>
      </c>
      <c r="Z143" s="187" t="str">
        <f ca="1">Sprache!$A$79</f>
        <v>Створка</v>
      </c>
      <c r="AA143" s="187">
        <v>450</v>
      </c>
      <c r="AB143" s="124">
        <v>500</v>
      </c>
      <c r="AC143" s="187"/>
      <c r="AD143" s="195">
        <v>1.9</v>
      </c>
      <c r="AE143" s="196">
        <v>3.8</v>
      </c>
      <c r="AF143" s="263" t="str">
        <f>MID(Tabelle2[[#This Row],[bnr full]],1,4)</f>
        <v>F151</v>
      </c>
      <c r="AG143" s="264" t="str">
        <f>MID(Tabelle2[[#This Row],[bnr full]],5,3)</f>
        <v>145</v>
      </c>
      <c r="AH143" s="265" t="str">
        <f>MID(Tabelle2[[#This Row],[bnr full]],8,3)</f>
        <v>218</v>
      </c>
      <c r="AI143" s="264" t="str">
        <f>MID(Tabelle2[[#This Row],[bnr full]],11,3)</f>
        <v>201</v>
      </c>
      <c r="AJ143" s="252" t="str">
        <f>MID(Tabelle2[[#This Row],[bnr full]],11,3)</f>
        <v>201</v>
      </c>
      <c r="AK143" s="197" t="s">
        <v>786</v>
      </c>
      <c r="AL143" s="124" t="str">
        <f ca="1">Sprache!$A$112</f>
        <v>Правый</v>
      </c>
      <c r="AM143" s="187" t="str">
        <f ca="1">Sprache!$A$133</f>
        <v>1 коленчатый подъемник</v>
      </c>
      <c r="AN143" s="187" t="str">
        <f ca="1">Sprache!$A$126</f>
        <v>Пружина, черная</v>
      </c>
      <c r="AO143" s="187" t="str">
        <f ca="1">Sprache!$A$148</f>
        <v>Коленчатый подъемник Kinvaro T-105, правый</v>
      </c>
      <c r="AP143" s="187" t="s">
        <v>817</v>
      </c>
      <c r="AQ143" s="187">
        <f>Limits!$K$9</f>
        <v>200</v>
      </c>
      <c r="AR143" s="124">
        <v>1200</v>
      </c>
      <c r="AS143" s="187" t="str">
        <f ca="1">CONCATENATE("TIOMOS 110° ",Sprache!$A$98)</f>
        <v>TIOMOS 110° Шарнир</v>
      </c>
      <c r="AT143" s="187" t="str">
        <f ca="1">CONCATENATE("1D° ",Sprache!$A$149)</f>
        <v>1D° Монтажная плита</v>
      </c>
    </row>
    <row r="144" spans="1:55" s="5" customFormat="1" hidden="1" x14ac:dyDescent="0.25">
      <c r="A144" s="12" t="str">
        <f ca="1">IF(F144+G144+H144+I144+J144+D144+E144=3,IF(Tabelle2[[#This Row],[Kappe Weiß]]=Limits!$R$29,1,""),"")</f>
        <v/>
      </c>
      <c r="B144" s="12" t="str">
        <f ca="1">IF(G144+H144+I144+J144+E144+F144=2,IF(Tabelle2[[#This Row],[Kappe Weiß]]=Limits!$R$29,1,""),"")</f>
        <v/>
      </c>
      <c r="C144" s="291">
        <v>0</v>
      </c>
      <c r="D144" s="171">
        <f>IF(Limits!$P$12=TRUE,1,0)</f>
        <v>0</v>
      </c>
      <c r="E144" s="172">
        <f>IF(Daten!$P144+Daten!$Q144+Daten!$S144=3,1,0)</f>
        <v>0</v>
      </c>
      <c r="F144" s="173">
        <f ca="1">IF(AND(Limits!$Q$21=TRUE,Daten!O144=1)=TRUE,1,0)</f>
        <v>0</v>
      </c>
      <c r="G144" s="174">
        <f>IF(AND(Limits!$Q$25=TRUE,Daten!N144=1)=TRUE,1,0)</f>
        <v>0</v>
      </c>
      <c r="H144" s="174">
        <f>IF(AND(Limits!$Q$24=TRUE,Daten!M144=1)=TRUE,1,0)</f>
        <v>0</v>
      </c>
      <c r="I144" s="174">
        <f>IF(AND(Limits!$Q$23=TRUE,Daten!L144=1)=TRUE,1,0)</f>
        <v>0</v>
      </c>
      <c r="J144" s="174">
        <f>IF(AND(Limits!$Q$22=TRUE,Daten!K144=1)=TRUE,1,0)</f>
        <v>0</v>
      </c>
      <c r="K144" s="188">
        <f>IF(Daten!$V144=13,1,0)</f>
        <v>0</v>
      </c>
      <c r="L144" s="189">
        <f>IF(Daten!$V144&lt;&gt;Daten!$W144,1,IF(Daten!$V144=14,1,0))</f>
        <v>1</v>
      </c>
      <c r="M144" s="189">
        <f>IF(Daten!$V144&lt;&gt;Daten!$W144,1,IF(Daten!$V144=16,1,0))</f>
        <v>0</v>
      </c>
      <c r="N144" s="189">
        <f>IF(Daten!$W144=17,1,0)</f>
        <v>0</v>
      </c>
      <c r="O144" s="190">
        <f ca="1">IF(Daten!$X144=Sprache!$A$70,1,0)</f>
        <v>0</v>
      </c>
      <c r="P144" s="191">
        <f>IF(AND(Daten!$AQ144&lt;=KINVARO!$AW$3,Daten!$AR144&gt;=KINVARO!$AW$3)=TRUE,1,0)</f>
        <v>1</v>
      </c>
      <c r="Q144" s="192">
        <f>IF(AND(Daten!$AA144&lt;=KINVARO!$AW$4,Daten!$AB144&gt;=KINVARO!$AW$4)=TRUE,1,0)</f>
        <v>0</v>
      </c>
      <c r="R144" s="192"/>
      <c r="S144" s="192">
        <f>IF(AND(Daten!$AD144&lt;=Limits!$I$70,Daten!$AE144&gt;=Limits!$I$70)=TRUE,1,0)</f>
        <v>0</v>
      </c>
      <c r="T144" s="193">
        <f ca="1">IF(Daten!$Y144=Sprache!$A$135,1,0)</f>
        <v>0</v>
      </c>
      <c r="U144" s="124" t="str">
        <f ca="1">Sprache!$A$62</f>
        <v>T-105 Коленчатый подъемник</v>
      </c>
      <c r="V144" s="194">
        <v>14</v>
      </c>
      <c r="W144" s="193">
        <v>14</v>
      </c>
      <c r="X144" s="187" t="str">
        <f ca="1">Sprache!$A$141</f>
        <v>Alu</v>
      </c>
      <c r="Y144" s="187" t="str">
        <f ca="1">Sprache!$A$136</f>
        <v>nein</v>
      </c>
      <c r="Z144" s="187" t="str">
        <f ca="1">Sprache!$A$79</f>
        <v>Створка</v>
      </c>
      <c r="AA144" s="187">
        <v>450</v>
      </c>
      <c r="AB144" s="124">
        <v>500</v>
      </c>
      <c r="AC144" s="187"/>
      <c r="AD144" s="195">
        <v>1.2</v>
      </c>
      <c r="AE144" s="196">
        <v>3</v>
      </c>
      <c r="AF144" s="263" t="str">
        <f>MID(Tabelle2[[#This Row],[bnr full]],1,4)</f>
        <v>F151</v>
      </c>
      <c r="AG144" s="264" t="str">
        <f>MID(Tabelle2[[#This Row],[bnr full]],5,3)</f>
        <v>145</v>
      </c>
      <c r="AH144" s="265" t="str">
        <f>MID(Tabelle2[[#This Row],[bnr full]],8,3)</f>
        <v>214</v>
      </c>
      <c r="AI144" s="264" t="str">
        <f>MID(Tabelle2[[#This Row],[bnr full]],11,3)</f>
        <v>201</v>
      </c>
      <c r="AJ144" s="252" t="str">
        <f>MID(Tabelle2[[#This Row],[bnr full]],11,3)</f>
        <v>201</v>
      </c>
      <c r="AK144" s="197" t="s">
        <v>787</v>
      </c>
      <c r="AL144" s="124" t="str">
        <f ca="1">Sprache!$A$112</f>
        <v>Правый</v>
      </c>
      <c r="AM144" s="187" t="str">
        <f ca="1">Sprache!$A$133</f>
        <v>1 коленчатый подъемник</v>
      </c>
      <c r="AN144" s="187" t="str">
        <f ca="1">Sprache!$A$125</f>
        <v>Пружина, стандарт</v>
      </c>
      <c r="AO144" s="187" t="str">
        <f ca="1">Sprache!$A$148</f>
        <v>Коленчатый подъемник Kinvaro T-105, правый</v>
      </c>
      <c r="AP144" s="187" t="s">
        <v>818</v>
      </c>
      <c r="AQ144" s="187">
        <f>Limits!$K$9</f>
        <v>200</v>
      </c>
      <c r="AR144" s="124">
        <v>1200</v>
      </c>
      <c r="AS144" s="187" t="str">
        <f ca="1">CONCATENATE("TIOMOS 110° ",Sprache!$A$150)</f>
        <v>TIOMOS 110° Шарнир для алюминиевой рамки</v>
      </c>
      <c r="AT144" s="187" t="str">
        <f ca="1">CONCATENATE("1D° ",Sprache!$A$149)</f>
        <v>1D° Монтажная плита</v>
      </c>
    </row>
    <row r="145" spans="1:55" s="4" customFormat="1" hidden="1" x14ac:dyDescent="0.25">
      <c r="A145" s="12" t="str">
        <f ca="1">IF(F145+G145+H145+I145+J145+D145+E145=3,IF(Tabelle2[[#This Row],[Kappe Weiß]]=Limits!$R$29,1,""),"")</f>
        <v/>
      </c>
      <c r="B145" s="12" t="str">
        <f ca="1">IF(G145+H145+I145+J145+E145+F145=2,IF(Tabelle2[[#This Row],[Kappe Weiß]]=Limits!$R$29,1,""),"")</f>
        <v/>
      </c>
      <c r="C145" s="291">
        <v>0</v>
      </c>
      <c r="D145" s="171">
        <f>IF(Limits!$P$12=TRUE,1,0)</f>
        <v>0</v>
      </c>
      <c r="E145" s="172">
        <f>IF(Daten!$P145+Daten!$Q145+Daten!$S145=3,1,0)</f>
        <v>0</v>
      </c>
      <c r="F145" s="173">
        <f ca="1">IF(AND(Limits!$Q$21=TRUE,Daten!O145=1)=TRUE,1,0)</f>
        <v>0</v>
      </c>
      <c r="G145" s="174">
        <f>IF(AND(Limits!$Q$25=TRUE,Daten!N145=1)=TRUE,1,0)</f>
        <v>0</v>
      </c>
      <c r="H145" s="174">
        <f>IF(AND(Limits!$Q$24=TRUE,Daten!M145=1)=TRUE,1,0)</f>
        <v>0</v>
      </c>
      <c r="I145" s="174">
        <f>IF(AND(Limits!$Q$23=TRUE,Daten!L145=1)=TRUE,1,0)</f>
        <v>0</v>
      </c>
      <c r="J145" s="174">
        <f>IF(AND(Limits!$Q$22=TRUE,Daten!K145=1)=TRUE,1,0)</f>
        <v>0</v>
      </c>
      <c r="K145" s="188">
        <f>IF(Daten!$V145=13,1,0)</f>
        <v>0</v>
      </c>
      <c r="L145" s="189">
        <f>IF(Daten!$V145&lt;&gt;Daten!$W145,1,IF(Daten!$V145=14,1,0))</f>
        <v>0</v>
      </c>
      <c r="M145" s="189">
        <f>IF(Daten!$V145&lt;&gt;Daten!$W145,1,IF(Daten!$V145=16,1,0))</f>
        <v>1</v>
      </c>
      <c r="N145" s="189">
        <f>IF(Daten!$W145=17,1,0)</f>
        <v>0</v>
      </c>
      <c r="O145" s="190">
        <f ca="1">IF(Daten!$X145=Sprache!$A$70,1,0)</f>
        <v>0</v>
      </c>
      <c r="P145" s="191">
        <f>IF(AND(Daten!$AQ145&lt;=KINVARO!$AW$3,Daten!$AR145&gt;=KINVARO!$AW$3)=TRUE,1,0)</f>
        <v>1</v>
      </c>
      <c r="Q145" s="192">
        <f>IF(AND(Daten!$AA145&lt;=KINVARO!$AW$4,Daten!$AB145&gt;=KINVARO!$AW$4)=TRUE,1,0)</f>
        <v>0</v>
      </c>
      <c r="R145" s="192"/>
      <c r="S145" s="192">
        <f>IF(AND(Daten!$AD145&lt;=Limits!$I$70,Daten!$AE145&gt;=Limits!$I$70)=TRUE,1,0)</f>
        <v>0</v>
      </c>
      <c r="T145" s="193">
        <f ca="1">IF(Daten!$Y145=Sprache!$A$135,1,0)</f>
        <v>0</v>
      </c>
      <c r="U145" s="124" t="str">
        <f ca="1">Sprache!$A$62</f>
        <v>T-105 Коленчатый подъемник</v>
      </c>
      <c r="V145" s="194">
        <v>16</v>
      </c>
      <c r="W145" s="193">
        <v>16</v>
      </c>
      <c r="X145" s="187" t="str">
        <f ca="1">Sprache!$A$141</f>
        <v>Alu</v>
      </c>
      <c r="Y145" s="187" t="str">
        <f ca="1">Sprache!$A$136</f>
        <v>nein</v>
      </c>
      <c r="Z145" s="187" t="str">
        <f ca="1">Sprache!$A$79</f>
        <v>Створка</v>
      </c>
      <c r="AA145" s="187">
        <v>450</v>
      </c>
      <c r="AB145" s="124">
        <v>500</v>
      </c>
      <c r="AC145" s="187"/>
      <c r="AD145" s="195">
        <v>1.2</v>
      </c>
      <c r="AE145" s="196">
        <v>3</v>
      </c>
      <c r="AF145" s="263" t="str">
        <f>MID(Tabelle2[[#This Row],[bnr full]],1,4)</f>
        <v>F151</v>
      </c>
      <c r="AG145" s="264" t="str">
        <f>MID(Tabelle2[[#This Row],[bnr full]],5,3)</f>
        <v>145</v>
      </c>
      <c r="AH145" s="265" t="str">
        <f>MID(Tabelle2[[#This Row],[bnr full]],8,3)</f>
        <v>216</v>
      </c>
      <c r="AI145" s="264" t="str">
        <f>MID(Tabelle2[[#This Row],[bnr full]],11,3)</f>
        <v>201</v>
      </c>
      <c r="AJ145" s="252" t="str">
        <f>MID(Tabelle2[[#This Row],[bnr full]],11,3)</f>
        <v>201</v>
      </c>
      <c r="AK145" s="197" t="s">
        <v>788</v>
      </c>
      <c r="AL145" s="124" t="str">
        <f ca="1">Sprache!$A$112</f>
        <v>Правый</v>
      </c>
      <c r="AM145" s="187" t="str">
        <f ca="1">Sprache!$A$133</f>
        <v>1 коленчатый подъемник</v>
      </c>
      <c r="AN145" s="187" t="str">
        <f ca="1">Sprache!$A$125</f>
        <v>Пружина, стандарт</v>
      </c>
      <c r="AO145" s="187" t="str">
        <f ca="1">Sprache!$A$148</f>
        <v>Коленчатый подъемник Kinvaro T-105, правый</v>
      </c>
      <c r="AP145" s="187" t="s">
        <v>819</v>
      </c>
      <c r="AQ145" s="187">
        <f>Limits!$K$9</f>
        <v>200</v>
      </c>
      <c r="AR145" s="124">
        <v>1200</v>
      </c>
      <c r="AS145" s="187" t="str">
        <f ca="1">CONCATENATE("TIOMOS 110° ",Sprache!$A$150)</f>
        <v>TIOMOS 110° Шарнир для алюминиевой рамки</v>
      </c>
      <c r="AT145" s="187" t="str">
        <f ca="1">CONCATENATE("1D° ",Sprache!$A$149)</f>
        <v>1D° Монтажная плита</v>
      </c>
    </row>
    <row r="146" spans="1:55" s="4" customFormat="1" hidden="1" x14ac:dyDescent="0.25">
      <c r="A146" s="12" t="str">
        <f ca="1">IF(F146+G146+H146+I146+J146+D146+E146=3,IF(Tabelle2[[#This Row],[Kappe Weiß]]=Limits!$R$29,1,""),"")</f>
        <v/>
      </c>
      <c r="B146" s="12" t="str">
        <f ca="1">IF(G146+H146+I146+J146+E146+F146=2,IF(Tabelle2[[#This Row],[Kappe Weiß]]=Limits!$R$29,1,""),"")</f>
        <v/>
      </c>
      <c r="C146" s="291">
        <v>0</v>
      </c>
      <c r="D146" s="171">
        <f>IF(Limits!$P$12=TRUE,1,0)</f>
        <v>0</v>
      </c>
      <c r="E146" s="172">
        <f>IF(Daten!$P146+Daten!$Q146+Daten!$S146=3,1,0)</f>
        <v>0</v>
      </c>
      <c r="F146" s="173">
        <f ca="1">IF(AND(Limits!$Q$21=TRUE,Daten!O146=1)=TRUE,1,0)</f>
        <v>1</v>
      </c>
      <c r="G146" s="174">
        <f ca="1">IF(AND(Limits!$Q$25=TRUE,Daten!N146=1)=TRUE,1,0)</f>
        <v>0</v>
      </c>
      <c r="H146" s="174">
        <f ca="1">IF(AND(Limits!$Q$24=TRUE,Daten!M146=1)=TRUE,1,0)</f>
        <v>0</v>
      </c>
      <c r="I146" s="174">
        <f ca="1">IF(AND(Limits!$Q$23=TRUE,Daten!L146=1)=TRUE,1,0)</f>
        <v>0</v>
      </c>
      <c r="J146" s="174">
        <f ca="1">IF(AND(Limits!$Q$22=TRUE,Daten!K146=1)=TRUE,1,0)</f>
        <v>0</v>
      </c>
      <c r="K146" s="188">
        <f ca="1">IF(Daten!$V146=13,1,0)</f>
        <v>0</v>
      </c>
      <c r="L146" s="189">
        <f ca="1">IF(Daten!$V146&lt;&gt;Daten!$W146,1,IF(Daten!$V146=14,1,0))</f>
        <v>0</v>
      </c>
      <c r="M146" s="189">
        <f ca="1">IF(Daten!$V146&lt;&gt;Daten!$W146,1,IF(Daten!$V146=16,1,0))</f>
        <v>0</v>
      </c>
      <c r="N146" s="189">
        <f ca="1">IF(Daten!$W146=17,1,0)</f>
        <v>0</v>
      </c>
      <c r="O146" s="190">
        <f ca="1">IF(Daten!$X146=Sprache!$A$70,1,0)</f>
        <v>1</v>
      </c>
      <c r="P146" s="191">
        <f>IF(AND(Daten!$AQ146&lt;=KINVARO!$AW$3,Daten!$AR146&gt;=KINVARO!$AW$3)=TRUE,1,0)</f>
        <v>1</v>
      </c>
      <c r="Q146" s="192">
        <f>IF(AND(Daten!$AA146&lt;=KINVARO!$AW$4,Daten!$AB146&gt;=KINVARO!$AW$4)=TRUE,1,0)</f>
        <v>0</v>
      </c>
      <c r="R146" s="192"/>
      <c r="S146" s="192">
        <f>IF(AND(Daten!$AD146&lt;=Limits!$I$70,Daten!$AE146&gt;=Limits!$I$70)=TRUE,1,0)</f>
        <v>0</v>
      </c>
      <c r="T146" s="193">
        <f ca="1">IF(Daten!$Y146=Sprache!$A$135,1,0)</f>
        <v>0</v>
      </c>
      <c r="U146" s="124" t="str">
        <f ca="1">Sprache!$A$62</f>
        <v>T-105 Коленчатый подъемник</v>
      </c>
      <c r="V146" s="194" t="str">
        <f ca="1">Sprache!$A$74</f>
        <v>var</v>
      </c>
      <c r="W146" s="193" t="str">
        <f ca="1">Sprache!$A$74</f>
        <v>var</v>
      </c>
      <c r="X146" s="187" t="str">
        <f ca="1">Sprache!$A$70</f>
        <v>соединение с древесиной</v>
      </c>
      <c r="Y146" s="187" t="str">
        <f ca="1">Sprache!$A$136</f>
        <v>nein</v>
      </c>
      <c r="Z146" s="187" t="str">
        <f ca="1">Sprache!$A$79</f>
        <v>Створка</v>
      </c>
      <c r="AA146" s="187">
        <v>450</v>
      </c>
      <c r="AB146" s="124">
        <v>500</v>
      </c>
      <c r="AC146" s="187"/>
      <c r="AD146" s="195">
        <v>2.4</v>
      </c>
      <c r="AE146" s="196">
        <v>6.1</v>
      </c>
      <c r="AF146" s="263" t="str">
        <f>MID(Tabelle2[[#This Row],[bnr full]],1,4)</f>
        <v>F151</v>
      </c>
      <c r="AG146" s="264" t="str">
        <f>MID(Tabelle2[[#This Row],[bnr full]],5,3)</f>
        <v>145</v>
      </c>
      <c r="AH146" s="265" t="str">
        <f>MID(Tabelle2[[#This Row],[bnr full]],8,3)</f>
        <v>220</v>
      </c>
      <c r="AI146" s="264" t="str">
        <f>MID(Tabelle2[[#This Row],[bnr full]],11,3)</f>
        <v>201</v>
      </c>
      <c r="AJ146" s="252" t="str">
        <f>MID(Tabelle2[[#This Row],[bnr full]],11,3)</f>
        <v>201</v>
      </c>
      <c r="AK146" s="197" t="s">
        <v>785</v>
      </c>
      <c r="AL146" s="124" t="str">
        <f ca="1">Sprache!$A$112</f>
        <v>Правый</v>
      </c>
      <c r="AM146" s="187" t="str">
        <f ca="1">Sprache!$A$134</f>
        <v>2 коленчатых подъемника</v>
      </c>
      <c r="AN146" s="187" t="str">
        <f ca="1">Sprache!$A$125</f>
        <v>Пружина, стандарт</v>
      </c>
      <c r="AO146" s="187" t="str">
        <f ca="1">Sprache!$A$148</f>
        <v>Коленчатый подъемник Kinvaro T-105, правый</v>
      </c>
      <c r="AP146" s="187" t="s">
        <v>816</v>
      </c>
      <c r="AQ146" s="187">
        <f>Limits!$K$9</f>
        <v>200</v>
      </c>
      <c r="AR146" s="124">
        <v>1200</v>
      </c>
      <c r="AS146" s="187" t="str">
        <f ca="1">CONCATENATE("TIOMOS 110° ",Sprache!$A$98)</f>
        <v>TIOMOS 110° Шарнир</v>
      </c>
      <c r="AT146" s="187" t="str">
        <f ca="1">CONCATENATE("1D° ",Sprache!$A$149)</f>
        <v>1D° Монтажная плита</v>
      </c>
    </row>
    <row r="147" spans="1:55" s="4" customFormat="1" hidden="1" x14ac:dyDescent="0.25">
      <c r="A147" s="12" t="str">
        <f ca="1">IF(F147+G147+H147+I147+J147+D147+E147=3,IF(Tabelle2[[#This Row],[Kappe Weiß]]=Limits!$R$29,1,""),"")</f>
        <v/>
      </c>
      <c r="B147" s="12" t="str">
        <f ca="1">IF(G147+H147+I147+J147+E147+F147=2,IF(Tabelle2[[#This Row],[Kappe Weiß]]=Limits!$R$29,1,""),"")</f>
        <v/>
      </c>
      <c r="C147" s="291">
        <v>0</v>
      </c>
      <c r="D147" s="171">
        <f>IF(Limits!$P$12=TRUE,1,0)</f>
        <v>0</v>
      </c>
      <c r="E147" s="172">
        <f>IF(Daten!$P147+Daten!$Q147+Daten!$S147=3,1,0)</f>
        <v>0</v>
      </c>
      <c r="F147" s="173">
        <f ca="1">IF(AND(Limits!$Q$21=TRUE,Daten!O147=1)=TRUE,1,0)</f>
        <v>1</v>
      </c>
      <c r="G147" s="174">
        <f ca="1">IF(AND(Limits!$Q$25=TRUE,Daten!N147=1)=TRUE,1,0)</f>
        <v>0</v>
      </c>
      <c r="H147" s="174">
        <f ca="1">IF(AND(Limits!$Q$24=TRUE,Daten!M147=1)=TRUE,1,0)</f>
        <v>0</v>
      </c>
      <c r="I147" s="174">
        <f ca="1">IF(AND(Limits!$Q$23=TRUE,Daten!L147=1)=TRUE,1,0)</f>
        <v>0</v>
      </c>
      <c r="J147" s="174">
        <f ca="1">IF(AND(Limits!$Q$22=TRUE,Daten!K147=1)=TRUE,1,0)</f>
        <v>0</v>
      </c>
      <c r="K147" s="188">
        <f ca="1">IF(Daten!$V147=13,1,0)</f>
        <v>0</v>
      </c>
      <c r="L147" s="189">
        <f ca="1">IF(Daten!$V147&lt;&gt;Daten!$W147,1,IF(Daten!$V147=14,1,0))</f>
        <v>0</v>
      </c>
      <c r="M147" s="189">
        <f ca="1">IF(Daten!$V147&lt;&gt;Daten!$W147,1,IF(Daten!$V147=16,1,0))</f>
        <v>0</v>
      </c>
      <c r="N147" s="189">
        <f ca="1">IF(Daten!$W147=17,1,0)</f>
        <v>0</v>
      </c>
      <c r="O147" s="190">
        <f ca="1">IF(Daten!$X147=Sprache!$A$70,1,0)</f>
        <v>1</v>
      </c>
      <c r="P147" s="191">
        <f>IF(AND(Daten!$AQ147&lt;=KINVARO!$AW$3,Daten!$AR147&gt;=KINVARO!$AW$3)=TRUE,1,0)</f>
        <v>1</v>
      </c>
      <c r="Q147" s="192">
        <f>IF(AND(Daten!$AA147&lt;=KINVARO!$AW$4,Daten!$AB147&gt;=KINVARO!$AW$4)=TRUE,1,0)</f>
        <v>0</v>
      </c>
      <c r="R147" s="192"/>
      <c r="S147" s="192">
        <f>IF(AND(Daten!$AD147&lt;=Limits!$I$70,Daten!$AE147&gt;=Limits!$I$70)=TRUE,1,0)</f>
        <v>0</v>
      </c>
      <c r="T147" s="193">
        <f ca="1">IF(Daten!$Y147=Sprache!$A$135,1,0)</f>
        <v>0</v>
      </c>
      <c r="U147" s="124" t="str">
        <f ca="1">Sprache!$A$62</f>
        <v>T-105 Коленчатый подъемник</v>
      </c>
      <c r="V147" s="194" t="str">
        <f ca="1">Sprache!$A$74</f>
        <v>var</v>
      </c>
      <c r="W147" s="193" t="str">
        <f ca="1">Sprache!$A$74</f>
        <v>var</v>
      </c>
      <c r="X147" s="187" t="str">
        <f ca="1">Sprache!$A$70</f>
        <v>соединение с древесиной</v>
      </c>
      <c r="Y147" s="187" t="str">
        <f ca="1">Sprache!$A$136</f>
        <v>nein</v>
      </c>
      <c r="Z147" s="187" t="str">
        <f ca="1">Sprache!$A$79</f>
        <v>Створка</v>
      </c>
      <c r="AA147" s="187">
        <v>450</v>
      </c>
      <c r="AB147" s="124">
        <v>500</v>
      </c>
      <c r="AC147" s="187"/>
      <c r="AD147" s="195">
        <v>3.8</v>
      </c>
      <c r="AE147" s="196">
        <v>7.4</v>
      </c>
      <c r="AF147" s="263" t="str">
        <f>MID(Tabelle2[[#This Row],[bnr full]],1,4)</f>
        <v>F151</v>
      </c>
      <c r="AG147" s="264" t="str">
        <f>MID(Tabelle2[[#This Row],[bnr full]],5,3)</f>
        <v>145</v>
      </c>
      <c r="AH147" s="265" t="str">
        <f>MID(Tabelle2[[#This Row],[bnr full]],8,3)</f>
        <v>218</v>
      </c>
      <c r="AI147" s="264" t="str">
        <f>MID(Tabelle2[[#This Row],[bnr full]],11,3)</f>
        <v>201</v>
      </c>
      <c r="AJ147" s="252" t="str">
        <f>MID(Tabelle2[[#This Row],[bnr full]],11,3)</f>
        <v>201</v>
      </c>
      <c r="AK147" s="197" t="s">
        <v>786</v>
      </c>
      <c r="AL147" s="124" t="str">
        <f ca="1">Sprache!$A$112</f>
        <v>Правый</v>
      </c>
      <c r="AM147" s="187" t="str">
        <f ca="1">Sprache!$A$134</f>
        <v>2 коленчатых подъемника</v>
      </c>
      <c r="AN147" s="187" t="str">
        <f ca="1">Sprache!$A$126</f>
        <v>Пружина, черная</v>
      </c>
      <c r="AO147" s="187" t="str">
        <f ca="1">Sprache!$A$148</f>
        <v>Коленчатый подъемник Kinvaro T-105, правый</v>
      </c>
      <c r="AP147" s="187" t="s">
        <v>817</v>
      </c>
      <c r="AQ147" s="187">
        <f>Limits!$K$9</f>
        <v>200</v>
      </c>
      <c r="AR147" s="124">
        <v>1200</v>
      </c>
      <c r="AS147" s="187" t="str">
        <f ca="1">CONCATENATE("TIOMOS 110° ",Sprache!$A$98)</f>
        <v>TIOMOS 110° Шарнир</v>
      </c>
      <c r="AT147" s="187" t="str">
        <f ca="1">CONCATENATE("1D° ",Sprache!$A$149)</f>
        <v>1D° Монтажная плита</v>
      </c>
    </row>
    <row r="148" spans="1:55" s="4" customFormat="1" hidden="1" x14ac:dyDescent="0.25">
      <c r="A148" s="12" t="str">
        <f ca="1">IF(F148+G148+H148+I148+J148+D148+E148=3,IF(Tabelle2[[#This Row],[Kappe Weiß]]=Limits!$R$29,1,""),"")</f>
        <v/>
      </c>
      <c r="B148" s="12" t="str">
        <f ca="1">IF(G148+H148+I148+J148+E148+F148=2,IF(Tabelle2[[#This Row],[Kappe Weiß]]=Limits!$R$29,1,""),"")</f>
        <v/>
      </c>
      <c r="C148" s="291">
        <v>0</v>
      </c>
      <c r="D148" s="171">
        <f>IF(Limits!$P$12=TRUE,1,0)</f>
        <v>0</v>
      </c>
      <c r="E148" s="172">
        <f>IF(Daten!$P148+Daten!$Q148+Daten!$S148=3,1,0)</f>
        <v>0</v>
      </c>
      <c r="F148" s="173">
        <f ca="1">IF(AND(Limits!$Q$21=TRUE,Daten!O148=1)=TRUE,1,0)</f>
        <v>0</v>
      </c>
      <c r="G148" s="174">
        <f>IF(AND(Limits!$Q$25=TRUE,Daten!N148=1)=TRUE,1,0)</f>
        <v>0</v>
      </c>
      <c r="H148" s="174">
        <f>IF(AND(Limits!$Q$24=TRUE,Daten!M148=1)=TRUE,1,0)</f>
        <v>0</v>
      </c>
      <c r="I148" s="174">
        <f>IF(AND(Limits!$Q$23=TRUE,Daten!L148=1)=TRUE,1,0)</f>
        <v>0</v>
      </c>
      <c r="J148" s="174">
        <f>IF(AND(Limits!$Q$22=TRUE,Daten!K148=1)=TRUE,1,0)</f>
        <v>0</v>
      </c>
      <c r="K148" s="188">
        <f>IF(Daten!$V148=13,1,0)</f>
        <v>0</v>
      </c>
      <c r="L148" s="189">
        <f>IF(Daten!$V148&lt;&gt;Daten!$W148,1,IF(Daten!$V148=14,1,0))</f>
        <v>1</v>
      </c>
      <c r="M148" s="189">
        <f>IF(Daten!$V148&lt;&gt;Daten!$W148,1,IF(Daten!$V148=16,1,0))</f>
        <v>0</v>
      </c>
      <c r="N148" s="189">
        <f>IF(Daten!$W148=17,1,0)</f>
        <v>0</v>
      </c>
      <c r="O148" s="190">
        <f ca="1">IF(Daten!$X148=Sprache!$A$70,1,0)</f>
        <v>0</v>
      </c>
      <c r="P148" s="191">
        <f>IF(AND(Daten!$AQ148&lt;=KINVARO!$AW$3,Daten!$AR148&gt;=KINVARO!$AW$3)=TRUE,1,0)</f>
        <v>1</v>
      </c>
      <c r="Q148" s="192">
        <f>IF(AND(Daten!$AA148&lt;=KINVARO!$AW$4,Daten!$AB148&gt;=KINVARO!$AW$4)=TRUE,1,0)</f>
        <v>0</v>
      </c>
      <c r="R148" s="192"/>
      <c r="S148" s="192">
        <f>IF(AND(Daten!$AD148&lt;=Limits!$I$70,Daten!$AE148&gt;=Limits!$I$70)=TRUE,1,0)</f>
        <v>0</v>
      </c>
      <c r="T148" s="193">
        <f ca="1">IF(Daten!$Y148=Sprache!$A$135,1,0)</f>
        <v>0</v>
      </c>
      <c r="U148" s="124" t="str">
        <f ca="1">Sprache!$A$62</f>
        <v>T-105 Коленчатый подъемник</v>
      </c>
      <c r="V148" s="194">
        <v>14</v>
      </c>
      <c r="W148" s="193">
        <v>14</v>
      </c>
      <c r="X148" s="187" t="str">
        <f ca="1">Sprache!$A$141</f>
        <v>Alu</v>
      </c>
      <c r="Y148" s="187" t="str">
        <f ca="1">Sprache!$A$136</f>
        <v>nein</v>
      </c>
      <c r="Z148" s="187" t="str">
        <f ca="1">Sprache!$A$79</f>
        <v>Створка</v>
      </c>
      <c r="AA148" s="187">
        <v>450</v>
      </c>
      <c r="AB148" s="124">
        <v>500</v>
      </c>
      <c r="AC148" s="187"/>
      <c r="AD148" s="195">
        <v>2.4</v>
      </c>
      <c r="AE148" s="196">
        <v>6.1</v>
      </c>
      <c r="AF148" s="263" t="str">
        <f>MID(Tabelle2[[#This Row],[bnr full]],1,4)</f>
        <v>F151</v>
      </c>
      <c r="AG148" s="264" t="str">
        <f>MID(Tabelle2[[#This Row],[bnr full]],5,3)</f>
        <v>145</v>
      </c>
      <c r="AH148" s="265" t="str">
        <f>MID(Tabelle2[[#This Row],[bnr full]],8,3)</f>
        <v>214</v>
      </c>
      <c r="AI148" s="264" t="str">
        <f>MID(Tabelle2[[#This Row],[bnr full]],11,3)</f>
        <v>201</v>
      </c>
      <c r="AJ148" s="252" t="str">
        <f>MID(Tabelle2[[#This Row],[bnr full]],11,3)</f>
        <v>201</v>
      </c>
      <c r="AK148" s="197" t="s">
        <v>787</v>
      </c>
      <c r="AL148" s="124" t="str">
        <f ca="1">Sprache!$A$112</f>
        <v>Правый</v>
      </c>
      <c r="AM148" s="187" t="str">
        <f ca="1">Sprache!$A$134</f>
        <v>2 коленчатых подъемника</v>
      </c>
      <c r="AN148" s="187" t="str">
        <f ca="1">Sprache!$A$125</f>
        <v>Пружина, стандарт</v>
      </c>
      <c r="AO148" s="187" t="str">
        <f ca="1">Sprache!$A$148</f>
        <v>Коленчатый подъемник Kinvaro T-105, правый</v>
      </c>
      <c r="AP148" s="187" t="s">
        <v>818</v>
      </c>
      <c r="AQ148" s="187">
        <f>Limits!$K$9</f>
        <v>200</v>
      </c>
      <c r="AR148" s="124">
        <v>1200</v>
      </c>
      <c r="AS148" s="187" t="str">
        <f ca="1">CONCATENATE("TIOMOS 110° ",Sprache!$A$150)</f>
        <v>TIOMOS 110° Шарнир для алюминиевой рамки</v>
      </c>
      <c r="AT148" s="187" t="str">
        <f ca="1">CONCATENATE("1D° ",Sprache!$A$149)</f>
        <v>1D° Монтажная плита</v>
      </c>
    </row>
    <row r="149" spans="1:55" s="5" customFormat="1" hidden="1" x14ac:dyDescent="0.25">
      <c r="A149" s="12" t="str">
        <f ca="1">IF(F149+G149+H149+I149+J149+D149+E149=3,IF(Tabelle2[[#This Row],[Kappe Weiß]]=Limits!$R$29,1,""),"")</f>
        <v/>
      </c>
      <c r="B149" s="12" t="str">
        <f ca="1">IF(G149+H149+I149+J149+E149+F149=2,IF(Tabelle2[[#This Row],[Kappe Weiß]]=Limits!$R$29,1,""),"")</f>
        <v/>
      </c>
      <c r="C149" s="291">
        <v>0</v>
      </c>
      <c r="D149" s="171">
        <f>IF(Limits!$P$12=TRUE,1,0)</f>
        <v>0</v>
      </c>
      <c r="E149" s="172">
        <f>IF(Daten!$P149+Daten!$Q149+Daten!$S149=3,1,0)</f>
        <v>0</v>
      </c>
      <c r="F149" s="173">
        <f ca="1">IF(AND(Limits!$Q$21=TRUE,Daten!O149=1)=TRUE,1,0)</f>
        <v>0</v>
      </c>
      <c r="G149" s="174">
        <f>IF(AND(Limits!$Q$25=TRUE,Daten!N149=1)=TRUE,1,0)</f>
        <v>0</v>
      </c>
      <c r="H149" s="174">
        <f>IF(AND(Limits!$Q$24=TRUE,Daten!M149=1)=TRUE,1,0)</f>
        <v>0</v>
      </c>
      <c r="I149" s="174">
        <f>IF(AND(Limits!$Q$23=TRUE,Daten!L149=1)=TRUE,1,0)</f>
        <v>0</v>
      </c>
      <c r="J149" s="174">
        <f>IF(AND(Limits!$Q$22=TRUE,Daten!K149=1)=TRUE,1,0)</f>
        <v>0</v>
      </c>
      <c r="K149" s="188">
        <f>IF(Daten!$V149=13,1,0)</f>
        <v>0</v>
      </c>
      <c r="L149" s="189">
        <f>IF(Daten!$V149&lt;&gt;Daten!$W149,1,IF(Daten!$V149=14,1,0))</f>
        <v>0</v>
      </c>
      <c r="M149" s="189">
        <f>IF(Daten!$V149&lt;&gt;Daten!$W149,1,IF(Daten!$V149=16,1,0))</f>
        <v>1</v>
      </c>
      <c r="N149" s="189">
        <f>IF(Daten!$W149=17,1,0)</f>
        <v>0</v>
      </c>
      <c r="O149" s="190">
        <f ca="1">IF(Daten!$X149=Sprache!$A$70,1,0)</f>
        <v>0</v>
      </c>
      <c r="P149" s="191">
        <f>IF(AND(Daten!$AQ149&lt;=KINVARO!$AW$3,Daten!$AR149&gt;=KINVARO!$AW$3)=TRUE,1,0)</f>
        <v>1</v>
      </c>
      <c r="Q149" s="192">
        <f>IF(AND(Daten!$AA149&lt;=KINVARO!$AW$4,Daten!$AB149&gt;=KINVARO!$AW$4)=TRUE,1,0)</f>
        <v>0</v>
      </c>
      <c r="R149" s="192"/>
      <c r="S149" s="192">
        <f>IF(AND(Daten!$AD149&lt;=Limits!$I$70,Daten!$AE149&gt;=Limits!$I$70)=TRUE,1,0)</f>
        <v>0</v>
      </c>
      <c r="T149" s="193">
        <f ca="1">IF(Daten!$Y149=Sprache!$A$135,1,0)</f>
        <v>0</v>
      </c>
      <c r="U149" s="124" t="str">
        <f ca="1">Sprache!$A$62</f>
        <v>T-105 Коленчатый подъемник</v>
      </c>
      <c r="V149" s="194">
        <v>16</v>
      </c>
      <c r="W149" s="193">
        <v>16</v>
      </c>
      <c r="X149" s="187" t="str">
        <f ca="1">Sprache!$A$141</f>
        <v>Alu</v>
      </c>
      <c r="Y149" s="187" t="str">
        <f ca="1">Sprache!$A$136</f>
        <v>nein</v>
      </c>
      <c r="Z149" s="187" t="str">
        <f ca="1">Sprache!$A$79</f>
        <v>Створка</v>
      </c>
      <c r="AA149" s="187">
        <v>450</v>
      </c>
      <c r="AB149" s="124">
        <v>500</v>
      </c>
      <c r="AC149" s="187"/>
      <c r="AD149" s="195">
        <v>2.4</v>
      </c>
      <c r="AE149" s="196">
        <v>6.1</v>
      </c>
      <c r="AF149" s="263" t="str">
        <f>MID(Tabelle2[[#This Row],[bnr full]],1,4)</f>
        <v>F151</v>
      </c>
      <c r="AG149" s="264" t="str">
        <f>MID(Tabelle2[[#This Row],[bnr full]],5,3)</f>
        <v>145</v>
      </c>
      <c r="AH149" s="265" t="str">
        <f>MID(Tabelle2[[#This Row],[bnr full]],8,3)</f>
        <v>216</v>
      </c>
      <c r="AI149" s="264" t="str">
        <f>MID(Tabelle2[[#This Row],[bnr full]],11,3)</f>
        <v>201</v>
      </c>
      <c r="AJ149" s="252" t="str">
        <f>MID(Tabelle2[[#This Row],[bnr full]],11,3)</f>
        <v>201</v>
      </c>
      <c r="AK149" s="197" t="s">
        <v>788</v>
      </c>
      <c r="AL149" s="124" t="str">
        <f ca="1">Sprache!$A$112</f>
        <v>Правый</v>
      </c>
      <c r="AM149" s="187" t="str">
        <f ca="1">Sprache!$A$134</f>
        <v>2 коленчатых подъемника</v>
      </c>
      <c r="AN149" s="187" t="str">
        <f ca="1">Sprache!$A$125</f>
        <v>Пружина, стандарт</v>
      </c>
      <c r="AO149" s="187" t="str">
        <f ca="1">Sprache!$A$148</f>
        <v>Коленчатый подъемник Kinvaro T-105, правый</v>
      </c>
      <c r="AP149" s="187" t="s">
        <v>819</v>
      </c>
      <c r="AQ149" s="187">
        <f>Limits!$K$9</f>
        <v>200</v>
      </c>
      <c r="AR149" s="124">
        <v>1200</v>
      </c>
      <c r="AS149" s="187" t="str">
        <f ca="1">CONCATENATE("TIOMOS 110° ",Sprache!$A$150)</f>
        <v>TIOMOS 110° Шарнир для алюминиевой рамки</v>
      </c>
      <c r="AT149" s="187" t="str">
        <f ca="1">CONCATENATE("1D° ",Sprache!$A$149)</f>
        <v>1D° Монтажная плита</v>
      </c>
    </row>
    <row r="150" spans="1:55" s="4" customFormat="1" hidden="1" x14ac:dyDescent="0.25">
      <c r="A150" s="12" t="str">
        <f ca="1">IF(F150+G150+H150+I150+J150+D150+E150=3,IF(Tabelle2[[#This Row],[Kappe Weiß]]=Limits!$R$29,1,""),"")</f>
        <v/>
      </c>
      <c r="B150" s="12" t="str">
        <f ca="1">IF(G150+H150+I150+J150+E150+F150=2,IF(Tabelle2[[#This Row],[Kappe Weiß]]=Limits!$R$29,1,""),"")</f>
        <v/>
      </c>
      <c r="C150" s="292">
        <v>0</v>
      </c>
      <c r="D150" s="171">
        <f>IF(Limits!$P$12=TRUE,1,0)</f>
        <v>0</v>
      </c>
      <c r="E150" s="172">
        <f>IF(Daten!$P150+Daten!$Q150+Daten!$S150=3,1,0)</f>
        <v>0</v>
      </c>
      <c r="F150" s="173">
        <f ca="1">IF(AND(Limits!$Q$21=TRUE,Daten!O150=1)=TRUE,1,0)</f>
        <v>1</v>
      </c>
      <c r="G150" s="174">
        <f ca="1">IF(AND(Limits!$Q$25=TRUE,Daten!N150=1)=TRUE,1,0)</f>
        <v>0</v>
      </c>
      <c r="H150" s="174">
        <f ca="1">IF(AND(Limits!$Q$24=TRUE,Daten!M150=1)=TRUE,1,0)</f>
        <v>0</v>
      </c>
      <c r="I150" s="174">
        <f ca="1">IF(AND(Limits!$Q$23=TRUE,Daten!L150=1)=TRUE,1,0)</f>
        <v>0</v>
      </c>
      <c r="J150" s="174">
        <f ca="1">IF(AND(Limits!$Q$22=TRUE,Daten!K150=1)=TRUE,1,0)</f>
        <v>0</v>
      </c>
      <c r="K150" s="188">
        <f ca="1">IF(Daten!$V150=13,1,0)</f>
        <v>0</v>
      </c>
      <c r="L150" s="189">
        <f ca="1">IF(Daten!$V150&lt;&gt;Daten!$W150,1,IF(Daten!$V150=14,1,0))</f>
        <v>0</v>
      </c>
      <c r="M150" s="189">
        <f ca="1">IF(Daten!$V150&lt;&gt;Daten!$W150,1,IF(Daten!$V150=16,1,0))</f>
        <v>0</v>
      </c>
      <c r="N150" s="189">
        <f ca="1">IF(Daten!$W150=17,1,0)</f>
        <v>0</v>
      </c>
      <c r="O150" s="190">
        <f ca="1">IF(Daten!$X150=Sprache!$A$70,1,0)</f>
        <v>1</v>
      </c>
      <c r="P150" s="198">
        <f>IF(AND(Daten!$AQ150&lt;=KINVARO!$AW$3,Daten!$AR150&gt;=KINVARO!$AW$3)=TRUE,1,0)</f>
        <v>1</v>
      </c>
      <c r="Q150" s="199">
        <f>IF(AND(Daten!$AA150&lt;=KINVARO!$AW$4,Daten!$AB150&gt;=KINVARO!$AW$4)=TRUE,1,0)</f>
        <v>0</v>
      </c>
      <c r="R150" s="199"/>
      <c r="S150" s="199">
        <f>IF(AND(Daten!$AD150&lt;=Limits!$I$70,Daten!$AE150&gt;=Limits!$I$70)=TRUE,1,0)</f>
        <v>0</v>
      </c>
      <c r="T150" s="200">
        <f ca="1">IF(Daten!$Y150=Sprache!$A$135,1,0)</f>
        <v>0</v>
      </c>
      <c r="U150" s="201" t="str">
        <f ca="1">Sprache!$A$62</f>
        <v>T-105 Коленчатый подъемник</v>
      </c>
      <c r="V150" s="202" t="str">
        <f ca="1">Sprache!$A$74</f>
        <v>var</v>
      </c>
      <c r="W150" s="200" t="str">
        <f ca="1">Sprache!$A$74</f>
        <v>var</v>
      </c>
      <c r="X150" s="203" t="str">
        <f ca="1">Sprache!$A$70</f>
        <v>соединение с древесиной</v>
      </c>
      <c r="Y150" s="187" t="str">
        <f ca="1">Sprache!$A$136</f>
        <v>nein</v>
      </c>
      <c r="Z150" s="203" t="str">
        <f ca="1">Sprache!$A$79</f>
        <v>Створка</v>
      </c>
      <c r="AA150" s="203">
        <v>500</v>
      </c>
      <c r="AB150" s="201">
        <v>500</v>
      </c>
      <c r="AC150" s="203"/>
      <c r="AD150" s="204">
        <v>1.1000000000000001</v>
      </c>
      <c r="AE150" s="205">
        <v>2.9</v>
      </c>
      <c r="AF150" s="266" t="str">
        <f>MID(Tabelle2[[#This Row],[bnr full]],1,4)</f>
        <v>F151</v>
      </c>
      <c r="AG150" s="267" t="str">
        <f>MID(Tabelle2[[#This Row],[bnr full]],5,3)</f>
        <v>145</v>
      </c>
      <c r="AH150" s="268" t="str">
        <f>MID(Tabelle2[[#This Row],[bnr full]],8,3)</f>
        <v>220</v>
      </c>
      <c r="AI150" s="267" t="str">
        <f>MID(Tabelle2[[#This Row],[bnr full]],11,3)</f>
        <v>201</v>
      </c>
      <c r="AJ150" s="253" t="str">
        <f>MID(Tabelle2[[#This Row],[bnr full]],11,3)</f>
        <v>201</v>
      </c>
      <c r="AK150" s="206" t="s">
        <v>785</v>
      </c>
      <c r="AL150" s="201" t="str">
        <f ca="1">Sprache!$A$112</f>
        <v>Правый</v>
      </c>
      <c r="AM150" s="203" t="str">
        <f ca="1">Sprache!$A$133</f>
        <v>1 коленчатый подъемник</v>
      </c>
      <c r="AN150" s="203" t="str">
        <f ca="1">Sprache!$A$125</f>
        <v>Пружина, стандарт</v>
      </c>
      <c r="AO150" s="203" t="str">
        <f ca="1">Sprache!$A$148</f>
        <v>Коленчатый подъемник Kinvaro T-105, правый</v>
      </c>
      <c r="AP150" s="203" t="s">
        <v>816</v>
      </c>
      <c r="AQ150" s="203">
        <f>Limits!$K$9</f>
        <v>200</v>
      </c>
      <c r="AR150" s="201">
        <v>1200</v>
      </c>
      <c r="AS150" s="187" t="str">
        <f ca="1">CONCATENATE("TIOMOS 110° ",Sprache!$A$98)</f>
        <v>TIOMOS 110° Шарнир</v>
      </c>
      <c r="AT150" s="187" t="str">
        <f ca="1">CONCATENATE("1D° ",Sprache!$A$149)</f>
        <v>1D° Монтажная плита</v>
      </c>
    </row>
    <row r="151" spans="1:55" s="4" customFormat="1" hidden="1" x14ac:dyDescent="0.25">
      <c r="A151" s="12" t="str">
        <f ca="1">IF(F151+G151+H151+I151+J151+D151+E151=3,IF(Tabelle2[[#This Row],[Kappe Weiß]]=Limits!$R$29,1,""),"")</f>
        <v/>
      </c>
      <c r="B151" s="12" t="str">
        <f ca="1">IF(G151+H151+I151+J151+E151+F151=2,IF(Tabelle2[[#This Row],[Kappe Weiß]]=Limits!$R$29,1,""),"")</f>
        <v/>
      </c>
      <c r="C151" s="291">
        <v>0</v>
      </c>
      <c r="D151" s="171">
        <f>IF(Limits!$P$12=TRUE,1,0)</f>
        <v>0</v>
      </c>
      <c r="E151" s="172">
        <f>IF(Daten!$P151+Daten!$Q151+Daten!$S151=3,1,0)</f>
        <v>0</v>
      </c>
      <c r="F151" s="173">
        <f ca="1">IF(AND(Limits!$Q$21=TRUE,Daten!O151=1)=TRUE,1,0)</f>
        <v>1</v>
      </c>
      <c r="G151" s="174">
        <f ca="1">IF(AND(Limits!$Q$25=TRUE,Daten!N151=1)=TRUE,1,0)</f>
        <v>0</v>
      </c>
      <c r="H151" s="174">
        <f ca="1">IF(AND(Limits!$Q$24=TRUE,Daten!M151=1)=TRUE,1,0)</f>
        <v>0</v>
      </c>
      <c r="I151" s="174">
        <f ca="1">IF(AND(Limits!$Q$23=TRUE,Daten!L151=1)=TRUE,1,0)</f>
        <v>0</v>
      </c>
      <c r="J151" s="174">
        <f ca="1">IF(AND(Limits!$Q$22=TRUE,Daten!K151=1)=TRUE,1,0)</f>
        <v>0</v>
      </c>
      <c r="K151" s="188">
        <f ca="1">IF(Daten!$V151=13,1,0)</f>
        <v>0</v>
      </c>
      <c r="L151" s="189">
        <f ca="1">IF(Daten!$V151&lt;&gt;Daten!$W151,1,IF(Daten!$V151=14,1,0))</f>
        <v>0</v>
      </c>
      <c r="M151" s="189">
        <f ca="1">IF(Daten!$V151&lt;&gt;Daten!$W151,1,IF(Daten!$V151=16,1,0))</f>
        <v>0</v>
      </c>
      <c r="N151" s="189">
        <f ca="1">IF(Daten!$W151=17,1,0)</f>
        <v>0</v>
      </c>
      <c r="O151" s="190">
        <f ca="1">IF(Daten!$X151=Sprache!$A$70,1,0)</f>
        <v>1</v>
      </c>
      <c r="P151" s="191">
        <f>IF(AND(Daten!$AQ151&lt;=KINVARO!$AW$3,Daten!$AR151&gt;=KINVARO!$AW$3)=TRUE,1,0)</f>
        <v>1</v>
      </c>
      <c r="Q151" s="192">
        <f>IF(AND(Daten!$AA151&lt;=KINVARO!$AW$4,Daten!$AB151&gt;=KINVARO!$AW$4)=TRUE,1,0)</f>
        <v>0</v>
      </c>
      <c r="R151" s="192"/>
      <c r="S151" s="192">
        <f>IF(AND(Daten!$AD151&lt;=Limits!$I$70,Daten!$AE151&gt;=Limits!$I$70)=TRUE,1,0)</f>
        <v>0</v>
      </c>
      <c r="T151" s="193">
        <f ca="1">IF(Daten!$Y151=Sprache!$A$135,1,0)</f>
        <v>0</v>
      </c>
      <c r="U151" s="124" t="str">
        <f ca="1">Sprache!$A$62</f>
        <v>T-105 Коленчатый подъемник</v>
      </c>
      <c r="V151" s="194" t="str">
        <f ca="1">Sprache!$A$74</f>
        <v>var</v>
      </c>
      <c r="W151" s="193" t="str">
        <f ca="1">Sprache!$A$74</f>
        <v>var</v>
      </c>
      <c r="X151" s="187" t="str">
        <f ca="1">Sprache!$A$70</f>
        <v>соединение с древесиной</v>
      </c>
      <c r="Y151" s="187" t="str">
        <f ca="1">Sprache!$A$136</f>
        <v>nein</v>
      </c>
      <c r="Z151" s="187" t="str">
        <f ca="1">Sprache!$A$79</f>
        <v>Створка</v>
      </c>
      <c r="AA151" s="187">
        <v>500</v>
      </c>
      <c r="AB151" s="124">
        <v>500</v>
      </c>
      <c r="AC151" s="187"/>
      <c r="AD151" s="195">
        <v>1.7</v>
      </c>
      <c r="AE151" s="196">
        <v>3.5</v>
      </c>
      <c r="AF151" s="263" t="str">
        <f>MID(Tabelle2[[#This Row],[bnr full]],1,4)</f>
        <v>F151</v>
      </c>
      <c r="AG151" s="264" t="str">
        <f>MID(Tabelle2[[#This Row],[bnr full]],5,3)</f>
        <v>145</v>
      </c>
      <c r="AH151" s="265" t="str">
        <f>MID(Tabelle2[[#This Row],[bnr full]],8,3)</f>
        <v>218</v>
      </c>
      <c r="AI151" s="264" t="str">
        <f>MID(Tabelle2[[#This Row],[bnr full]],11,3)</f>
        <v>201</v>
      </c>
      <c r="AJ151" s="252" t="str">
        <f>MID(Tabelle2[[#This Row],[bnr full]],11,3)</f>
        <v>201</v>
      </c>
      <c r="AK151" s="197" t="s">
        <v>786</v>
      </c>
      <c r="AL151" s="124" t="str">
        <f ca="1">Sprache!$A$112</f>
        <v>Правый</v>
      </c>
      <c r="AM151" s="187" t="str">
        <f ca="1">Sprache!$A$133</f>
        <v>1 коленчатый подъемник</v>
      </c>
      <c r="AN151" s="187" t="str">
        <f ca="1">Sprache!$A$126</f>
        <v>Пружина, черная</v>
      </c>
      <c r="AO151" s="187" t="str">
        <f ca="1">Sprache!$A$148</f>
        <v>Коленчатый подъемник Kinvaro T-105, правый</v>
      </c>
      <c r="AP151" s="187" t="s">
        <v>817</v>
      </c>
      <c r="AQ151" s="187">
        <f>Limits!$K$9</f>
        <v>200</v>
      </c>
      <c r="AR151" s="124">
        <v>1200</v>
      </c>
      <c r="AS151" s="187" t="str">
        <f ca="1">CONCATENATE("TIOMOS 110° ",Sprache!$A$98)</f>
        <v>TIOMOS 110° Шарнир</v>
      </c>
      <c r="AT151" s="187" t="str">
        <f ca="1">CONCATENATE("1D° ",Sprache!$A$149)</f>
        <v>1D° Монтажная плита</v>
      </c>
    </row>
    <row r="152" spans="1:55" s="4" customFormat="1" hidden="1" x14ac:dyDescent="0.25">
      <c r="A152" s="12" t="str">
        <f ca="1">IF(F152+G152+H152+I152+J152+D152+E152=3,IF(Tabelle2[[#This Row],[Kappe Weiß]]=Limits!$R$29,1,""),"")</f>
        <v/>
      </c>
      <c r="B152" s="12" t="str">
        <f ca="1">IF(G152+H152+I152+J152+E152+F152=2,IF(Tabelle2[[#This Row],[Kappe Weiß]]=Limits!$R$29,1,""),"")</f>
        <v/>
      </c>
      <c r="C152" s="291">
        <v>0</v>
      </c>
      <c r="D152" s="171">
        <f>IF(Limits!$P$12=TRUE,1,0)</f>
        <v>0</v>
      </c>
      <c r="E152" s="172">
        <f>IF(Daten!$P152+Daten!$Q152+Daten!$S152=3,1,0)</f>
        <v>0</v>
      </c>
      <c r="F152" s="173">
        <f ca="1">IF(AND(Limits!$Q$21=TRUE,Daten!O152=1)=TRUE,1,0)</f>
        <v>0</v>
      </c>
      <c r="G152" s="174">
        <f>IF(AND(Limits!$Q$25=TRUE,Daten!N152=1)=TRUE,1,0)</f>
        <v>0</v>
      </c>
      <c r="H152" s="174">
        <f>IF(AND(Limits!$Q$24=TRUE,Daten!M152=1)=TRUE,1,0)</f>
        <v>0</v>
      </c>
      <c r="I152" s="174">
        <f>IF(AND(Limits!$Q$23=TRUE,Daten!L152=1)=TRUE,1,0)</f>
        <v>0</v>
      </c>
      <c r="J152" s="174">
        <f>IF(AND(Limits!$Q$22=TRUE,Daten!K152=1)=TRUE,1,0)</f>
        <v>0</v>
      </c>
      <c r="K152" s="188">
        <f>IF(Daten!$V152=13,1,0)</f>
        <v>0</v>
      </c>
      <c r="L152" s="189">
        <f>IF(Daten!$V152&lt;&gt;Daten!$W152,1,IF(Daten!$V152=14,1,0))</f>
        <v>1</v>
      </c>
      <c r="M152" s="189">
        <f>IF(Daten!$V152&lt;&gt;Daten!$W152,1,IF(Daten!$V152=16,1,0))</f>
        <v>0</v>
      </c>
      <c r="N152" s="189">
        <f>IF(Daten!$W152=17,1,0)</f>
        <v>0</v>
      </c>
      <c r="O152" s="190">
        <f ca="1">IF(Daten!$X152=Sprache!$A$70,1,0)</f>
        <v>0</v>
      </c>
      <c r="P152" s="191">
        <f>IF(AND(Daten!$AQ152&lt;=KINVARO!$AW$3,Daten!$AR152&gt;=KINVARO!$AW$3)=TRUE,1,0)</f>
        <v>1</v>
      </c>
      <c r="Q152" s="192">
        <f>IF(AND(Daten!$AA152&lt;=KINVARO!$AW$4,Daten!$AB152&gt;=KINVARO!$AW$4)=TRUE,1,0)</f>
        <v>0</v>
      </c>
      <c r="R152" s="192"/>
      <c r="S152" s="192">
        <f>IF(AND(Daten!$AD152&lt;=Limits!$I$70,Daten!$AE152&gt;=Limits!$I$70)=TRUE,1,0)</f>
        <v>0</v>
      </c>
      <c r="T152" s="193">
        <f ca="1">IF(Daten!$Y152=Sprache!$A$135,1,0)</f>
        <v>0</v>
      </c>
      <c r="U152" s="124" t="str">
        <f ca="1">Sprache!$A$62</f>
        <v>T-105 Коленчатый подъемник</v>
      </c>
      <c r="V152" s="194">
        <v>14</v>
      </c>
      <c r="W152" s="193">
        <v>14</v>
      </c>
      <c r="X152" s="187" t="str">
        <f ca="1">Sprache!$A$141</f>
        <v>Alu</v>
      </c>
      <c r="Y152" s="187" t="str">
        <f ca="1">Sprache!$A$136</f>
        <v>nein</v>
      </c>
      <c r="Z152" s="187" t="str">
        <f ca="1">Sprache!$A$79</f>
        <v>Створка</v>
      </c>
      <c r="AA152" s="187">
        <v>500</v>
      </c>
      <c r="AB152" s="124">
        <v>500</v>
      </c>
      <c r="AC152" s="187"/>
      <c r="AD152" s="195">
        <v>1.1000000000000001</v>
      </c>
      <c r="AE152" s="196">
        <v>2.9</v>
      </c>
      <c r="AF152" s="263" t="str">
        <f>MID(Tabelle2[[#This Row],[bnr full]],1,4)</f>
        <v>F151</v>
      </c>
      <c r="AG152" s="264" t="str">
        <f>MID(Tabelle2[[#This Row],[bnr full]],5,3)</f>
        <v>145</v>
      </c>
      <c r="AH152" s="265" t="str">
        <f>MID(Tabelle2[[#This Row],[bnr full]],8,3)</f>
        <v>214</v>
      </c>
      <c r="AI152" s="264" t="str">
        <f>MID(Tabelle2[[#This Row],[bnr full]],11,3)</f>
        <v>201</v>
      </c>
      <c r="AJ152" s="252" t="str">
        <f>MID(Tabelle2[[#This Row],[bnr full]],11,3)</f>
        <v>201</v>
      </c>
      <c r="AK152" s="197" t="s">
        <v>787</v>
      </c>
      <c r="AL152" s="124" t="str">
        <f ca="1">Sprache!$A$112</f>
        <v>Правый</v>
      </c>
      <c r="AM152" s="187" t="str">
        <f ca="1">Sprache!$A$133</f>
        <v>1 коленчатый подъемник</v>
      </c>
      <c r="AN152" s="187" t="str">
        <f ca="1">Sprache!$A$125</f>
        <v>Пружина, стандарт</v>
      </c>
      <c r="AO152" s="187" t="str">
        <f ca="1">Sprache!$A$148</f>
        <v>Коленчатый подъемник Kinvaro T-105, правый</v>
      </c>
      <c r="AP152" s="187" t="s">
        <v>818</v>
      </c>
      <c r="AQ152" s="187">
        <f>Limits!$K$9</f>
        <v>200</v>
      </c>
      <c r="AR152" s="124">
        <v>1200</v>
      </c>
      <c r="AS152" s="187" t="str">
        <f ca="1">CONCATENATE("TIOMOS 110° ",Sprache!$A$150)</f>
        <v>TIOMOS 110° Шарнир для алюминиевой рамки</v>
      </c>
      <c r="AT152" s="187" t="str">
        <f ca="1">CONCATENATE("1D° ",Sprache!$A$149)</f>
        <v>1D° Монтажная плита</v>
      </c>
    </row>
    <row r="153" spans="1:55" s="4" customFormat="1" hidden="1" x14ac:dyDescent="0.25">
      <c r="A153" s="12" t="str">
        <f ca="1">IF(F153+G153+H153+I153+J153+D153+E153=3,IF(Tabelle2[[#This Row],[Kappe Weiß]]=Limits!$R$29,1,""),"")</f>
        <v/>
      </c>
      <c r="B153" s="12" t="str">
        <f ca="1">IF(G153+H153+I153+J153+E153+F153=2,IF(Tabelle2[[#This Row],[Kappe Weiß]]=Limits!$R$29,1,""),"")</f>
        <v/>
      </c>
      <c r="C153" s="291">
        <v>0</v>
      </c>
      <c r="D153" s="171">
        <f>IF(Limits!$P$12=TRUE,1,0)</f>
        <v>0</v>
      </c>
      <c r="E153" s="172">
        <f>IF(Daten!$P153+Daten!$Q153+Daten!$S153=3,1,0)</f>
        <v>0</v>
      </c>
      <c r="F153" s="173">
        <f ca="1">IF(AND(Limits!$Q$21=TRUE,Daten!O153=1)=TRUE,1,0)</f>
        <v>0</v>
      </c>
      <c r="G153" s="174">
        <f>IF(AND(Limits!$Q$25=TRUE,Daten!N153=1)=TRUE,1,0)</f>
        <v>0</v>
      </c>
      <c r="H153" s="174">
        <f>IF(AND(Limits!$Q$24=TRUE,Daten!M153=1)=TRUE,1,0)</f>
        <v>0</v>
      </c>
      <c r="I153" s="174">
        <f>IF(AND(Limits!$Q$23=TRUE,Daten!L153=1)=TRUE,1,0)</f>
        <v>0</v>
      </c>
      <c r="J153" s="174">
        <f>IF(AND(Limits!$Q$22=TRUE,Daten!K153=1)=TRUE,1,0)</f>
        <v>0</v>
      </c>
      <c r="K153" s="188">
        <f>IF(Daten!$V153=13,1,0)</f>
        <v>0</v>
      </c>
      <c r="L153" s="189">
        <f>IF(Daten!$V153&lt;&gt;Daten!$W153,1,IF(Daten!$V153=14,1,0))</f>
        <v>0</v>
      </c>
      <c r="M153" s="189">
        <f>IF(Daten!$V153&lt;&gt;Daten!$W153,1,IF(Daten!$V153=16,1,0))</f>
        <v>1</v>
      </c>
      <c r="N153" s="189">
        <f>IF(Daten!$W153=17,1,0)</f>
        <v>0</v>
      </c>
      <c r="O153" s="190">
        <f ca="1">IF(Daten!$X153=Sprache!$A$70,1,0)</f>
        <v>0</v>
      </c>
      <c r="P153" s="191">
        <f>IF(AND(Daten!$AQ153&lt;=KINVARO!$AW$3,Daten!$AR153&gt;=KINVARO!$AW$3)=TRUE,1,0)</f>
        <v>1</v>
      </c>
      <c r="Q153" s="192">
        <f>IF(AND(Daten!$AA153&lt;=KINVARO!$AW$4,Daten!$AB153&gt;=KINVARO!$AW$4)=TRUE,1,0)</f>
        <v>0</v>
      </c>
      <c r="R153" s="192"/>
      <c r="S153" s="192">
        <f>IF(AND(Daten!$AD153&lt;=Limits!$I$70,Daten!$AE153&gt;=Limits!$I$70)=TRUE,1,0)</f>
        <v>0</v>
      </c>
      <c r="T153" s="193">
        <f ca="1">IF(Daten!$Y153=Sprache!$A$135,1,0)</f>
        <v>0</v>
      </c>
      <c r="U153" s="124" t="str">
        <f ca="1">Sprache!$A$62</f>
        <v>T-105 Коленчатый подъемник</v>
      </c>
      <c r="V153" s="194">
        <v>16</v>
      </c>
      <c r="W153" s="193">
        <v>16</v>
      </c>
      <c r="X153" s="187" t="str">
        <f ca="1">Sprache!$A$141</f>
        <v>Alu</v>
      </c>
      <c r="Y153" s="187" t="str">
        <f ca="1">Sprache!$A$136</f>
        <v>nein</v>
      </c>
      <c r="Z153" s="187" t="str">
        <f ca="1">Sprache!$A$79</f>
        <v>Створка</v>
      </c>
      <c r="AA153" s="187">
        <v>500</v>
      </c>
      <c r="AB153" s="124">
        <v>500</v>
      </c>
      <c r="AC153" s="187"/>
      <c r="AD153" s="195">
        <v>1.1000000000000001</v>
      </c>
      <c r="AE153" s="196">
        <v>2.9</v>
      </c>
      <c r="AF153" s="263" t="str">
        <f>MID(Tabelle2[[#This Row],[bnr full]],1,4)</f>
        <v>F151</v>
      </c>
      <c r="AG153" s="264" t="str">
        <f>MID(Tabelle2[[#This Row],[bnr full]],5,3)</f>
        <v>145</v>
      </c>
      <c r="AH153" s="265" t="str">
        <f>MID(Tabelle2[[#This Row],[bnr full]],8,3)</f>
        <v>216</v>
      </c>
      <c r="AI153" s="264" t="str">
        <f>MID(Tabelle2[[#This Row],[bnr full]],11,3)</f>
        <v>201</v>
      </c>
      <c r="AJ153" s="252" t="str">
        <f>MID(Tabelle2[[#This Row],[bnr full]],11,3)</f>
        <v>201</v>
      </c>
      <c r="AK153" s="197" t="s">
        <v>788</v>
      </c>
      <c r="AL153" s="124" t="str">
        <f ca="1">Sprache!$A$112</f>
        <v>Правый</v>
      </c>
      <c r="AM153" s="187" t="str">
        <f ca="1">Sprache!$A$133</f>
        <v>1 коленчатый подъемник</v>
      </c>
      <c r="AN153" s="187" t="str">
        <f ca="1">Sprache!$A$125</f>
        <v>Пружина, стандарт</v>
      </c>
      <c r="AO153" s="187" t="str">
        <f ca="1">Sprache!$A$148</f>
        <v>Коленчатый подъемник Kinvaro T-105, правый</v>
      </c>
      <c r="AP153" s="187" t="s">
        <v>819</v>
      </c>
      <c r="AQ153" s="187">
        <f>Limits!$K$9</f>
        <v>200</v>
      </c>
      <c r="AR153" s="124">
        <v>1200</v>
      </c>
      <c r="AS153" s="187" t="str">
        <f ca="1">CONCATENATE("TIOMOS 110° ",Sprache!$A$150)</f>
        <v>TIOMOS 110° Шарнир для алюминиевой рамки</v>
      </c>
      <c r="AT153" s="187" t="str">
        <f ca="1">CONCATENATE("1D° ",Sprache!$A$149)</f>
        <v>1D° Монтажная плита</v>
      </c>
    </row>
    <row r="154" spans="1:55" s="5" customFormat="1" hidden="1" x14ac:dyDescent="0.25">
      <c r="A154" s="12" t="str">
        <f ca="1">IF(F154+G154+H154+I154+J154+D154+E154=3,IF(Tabelle2[[#This Row],[Kappe Weiß]]=Limits!$R$29,1,""),"")</f>
        <v/>
      </c>
      <c r="B154" s="12" t="str">
        <f ca="1">IF(G154+H154+I154+J154+E154+F154=2,IF(Tabelle2[[#This Row],[Kappe Weiß]]=Limits!$R$29,1,""),"")</f>
        <v/>
      </c>
      <c r="C154" s="291">
        <v>0</v>
      </c>
      <c r="D154" s="171">
        <f>IF(Limits!$P$12=TRUE,1,0)</f>
        <v>0</v>
      </c>
      <c r="E154" s="172">
        <f>IF(Daten!$P154+Daten!$Q154+Daten!$S154=3,1,0)</f>
        <v>0</v>
      </c>
      <c r="F154" s="173">
        <f ca="1">IF(AND(Limits!$Q$21=TRUE,Daten!O154=1)=TRUE,1,0)</f>
        <v>1</v>
      </c>
      <c r="G154" s="174">
        <f ca="1">IF(AND(Limits!$Q$25=TRUE,Daten!N154=1)=TRUE,1,0)</f>
        <v>0</v>
      </c>
      <c r="H154" s="174">
        <f ca="1">IF(AND(Limits!$Q$24=TRUE,Daten!M154=1)=TRUE,1,0)</f>
        <v>0</v>
      </c>
      <c r="I154" s="174">
        <f ca="1">IF(AND(Limits!$Q$23=TRUE,Daten!L154=1)=TRUE,1,0)</f>
        <v>0</v>
      </c>
      <c r="J154" s="174">
        <f ca="1">IF(AND(Limits!$Q$22=TRUE,Daten!K154=1)=TRUE,1,0)</f>
        <v>0</v>
      </c>
      <c r="K154" s="188">
        <f ca="1">IF(Daten!$V154=13,1,0)</f>
        <v>0</v>
      </c>
      <c r="L154" s="189">
        <f ca="1">IF(Daten!$V154&lt;&gt;Daten!$W154,1,IF(Daten!$V154=14,1,0))</f>
        <v>0</v>
      </c>
      <c r="M154" s="189">
        <f ca="1">IF(Daten!$V154&lt;&gt;Daten!$W154,1,IF(Daten!$V154=16,1,0))</f>
        <v>0</v>
      </c>
      <c r="N154" s="189">
        <f ca="1">IF(Daten!$W154=17,1,0)</f>
        <v>0</v>
      </c>
      <c r="O154" s="190">
        <f ca="1">IF(Daten!$X154=Sprache!$A$70,1,0)</f>
        <v>1</v>
      </c>
      <c r="P154" s="191">
        <f>IF(AND(Daten!$AQ154&lt;=KINVARO!$AW$3,Daten!$AR154&gt;=KINVARO!$AW$3)=TRUE,1,0)</f>
        <v>1</v>
      </c>
      <c r="Q154" s="192">
        <f>IF(AND(Daten!$AA154&lt;=KINVARO!$AW$4,Daten!$AB154&gt;=KINVARO!$AW$4)=TRUE,1,0)</f>
        <v>0</v>
      </c>
      <c r="R154" s="192"/>
      <c r="S154" s="192">
        <f>IF(AND(Daten!$AD154&lt;=Limits!$I$70,Daten!$AE154&gt;=Limits!$I$70)=TRUE,1,0)</f>
        <v>0</v>
      </c>
      <c r="T154" s="193">
        <f ca="1">IF(Daten!$Y154=Sprache!$A$135,1,0)</f>
        <v>0</v>
      </c>
      <c r="U154" s="124" t="str">
        <f ca="1">Sprache!$A$62</f>
        <v>T-105 Коленчатый подъемник</v>
      </c>
      <c r="V154" s="194" t="str">
        <f ca="1">Sprache!$A$74</f>
        <v>var</v>
      </c>
      <c r="W154" s="193" t="str">
        <f ca="1">Sprache!$A$74</f>
        <v>var</v>
      </c>
      <c r="X154" s="187" t="str">
        <f ca="1">Sprache!$A$70</f>
        <v>соединение с древесиной</v>
      </c>
      <c r="Y154" s="187" t="str">
        <f ca="1">Sprache!$A$136</f>
        <v>nein</v>
      </c>
      <c r="Z154" s="187" t="str">
        <f ca="1">Sprache!$A$79</f>
        <v>Створка</v>
      </c>
      <c r="AA154" s="187">
        <v>500</v>
      </c>
      <c r="AB154" s="124">
        <v>500</v>
      </c>
      <c r="AC154" s="187"/>
      <c r="AD154" s="195">
        <v>2.2000000000000002</v>
      </c>
      <c r="AE154" s="196">
        <v>5.8</v>
      </c>
      <c r="AF154" s="263" t="str">
        <f>MID(Tabelle2[[#This Row],[bnr full]],1,4)</f>
        <v>F151</v>
      </c>
      <c r="AG154" s="264" t="str">
        <f>MID(Tabelle2[[#This Row],[bnr full]],5,3)</f>
        <v>145</v>
      </c>
      <c r="AH154" s="265" t="str">
        <f>MID(Tabelle2[[#This Row],[bnr full]],8,3)</f>
        <v>220</v>
      </c>
      <c r="AI154" s="264" t="str">
        <f>MID(Tabelle2[[#This Row],[bnr full]],11,3)</f>
        <v>201</v>
      </c>
      <c r="AJ154" s="252" t="str">
        <f>MID(Tabelle2[[#This Row],[bnr full]],11,3)</f>
        <v>201</v>
      </c>
      <c r="AK154" s="197" t="s">
        <v>785</v>
      </c>
      <c r="AL154" s="124" t="str">
        <f ca="1">Sprache!$A$112</f>
        <v>Правый</v>
      </c>
      <c r="AM154" s="187" t="str">
        <f ca="1">Sprache!$A$134</f>
        <v>2 коленчатых подъемника</v>
      </c>
      <c r="AN154" s="187" t="str">
        <f ca="1">Sprache!$A$125</f>
        <v>Пружина, стандарт</v>
      </c>
      <c r="AO154" s="187" t="str">
        <f ca="1">Sprache!$A$148</f>
        <v>Коленчатый подъемник Kinvaro T-105, правый</v>
      </c>
      <c r="AP154" s="187" t="s">
        <v>816</v>
      </c>
      <c r="AQ154" s="187">
        <f>Limits!$K$9</f>
        <v>200</v>
      </c>
      <c r="AR154" s="124">
        <v>1200</v>
      </c>
      <c r="AS154" s="187" t="str">
        <f ca="1">CONCATENATE("TIOMOS 110° ",Sprache!$A$98)</f>
        <v>TIOMOS 110° Шарнир</v>
      </c>
      <c r="AT154" s="187" t="str">
        <f ca="1">CONCATENATE("1D° ",Sprache!$A$149)</f>
        <v>1D° Монтажная плита</v>
      </c>
    </row>
    <row r="155" spans="1:55" s="4" customFormat="1" hidden="1" x14ac:dyDescent="0.25">
      <c r="A155" s="12" t="str">
        <f ca="1">IF(F155+G155+H155+I155+J155+D155+E155=3,IF(Tabelle2[[#This Row],[Kappe Weiß]]=Limits!$R$29,1,""),"")</f>
        <v/>
      </c>
      <c r="B155" s="12" t="str">
        <f ca="1">IF(G155+H155+I155+J155+E155+F155=2,IF(Tabelle2[[#This Row],[Kappe Weiß]]=Limits!$R$29,1,""),"")</f>
        <v/>
      </c>
      <c r="C155" s="291">
        <v>0</v>
      </c>
      <c r="D155" s="171">
        <f>IF(Limits!$P$12=TRUE,1,0)</f>
        <v>0</v>
      </c>
      <c r="E155" s="172">
        <f>IF(Daten!$P155+Daten!$Q155+Daten!$S155=3,1,0)</f>
        <v>0</v>
      </c>
      <c r="F155" s="173">
        <f ca="1">IF(AND(Limits!$Q$21=TRUE,Daten!O155=1)=TRUE,1,0)</f>
        <v>1</v>
      </c>
      <c r="G155" s="174">
        <f ca="1">IF(AND(Limits!$Q$25=TRUE,Daten!N155=1)=TRUE,1,0)</f>
        <v>0</v>
      </c>
      <c r="H155" s="174">
        <f ca="1">IF(AND(Limits!$Q$24=TRUE,Daten!M155=1)=TRUE,1,0)</f>
        <v>0</v>
      </c>
      <c r="I155" s="174">
        <f ca="1">IF(AND(Limits!$Q$23=TRUE,Daten!L155=1)=TRUE,1,0)</f>
        <v>0</v>
      </c>
      <c r="J155" s="174">
        <f ca="1">IF(AND(Limits!$Q$22=TRUE,Daten!K155=1)=TRUE,1,0)</f>
        <v>0</v>
      </c>
      <c r="K155" s="188">
        <f ca="1">IF(Daten!$V155=13,1,0)</f>
        <v>0</v>
      </c>
      <c r="L155" s="189">
        <f ca="1">IF(Daten!$V155&lt;&gt;Daten!$W155,1,IF(Daten!$V155=14,1,0))</f>
        <v>0</v>
      </c>
      <c r="M155" s="189">
        <f ca="1">IF(Daten!$V155&lt;&gt;Daten!$W155,1,IF(Daten!$V155=16,1,0))</f>
        <v>0</v>
      </c>
      <c r="N155" s="189">
        <f ca="1">IF(Daten!$W155=17,1,0)</f>
        <v>0</v>
      </c>
      <c r="O155" s="190">
        <f ca="1">IF(Daten!$X155=Sprache!$A$70,1,0)</f>
        <v>1</v>
      </c>
      <c r="P155" s="191">
        <f>IF(AND(Daten!$AQ155&lt;=KINVARO!$AW$3,Daten!$AR155&gt;=KINVARO!$AW$3)=TRUE,1,0)</f>
        <v>1</v>
      </c>
      <c r="Q155" s="192">
        <f>IF(AND(Daten!$AA155&lt;=KINVARO!$AW$4,Daten!$AB155&gt;=KINVARO!$AW$4)=TRUE,1,0)</f>
        <v>0</v>
      </c>
      <c r="R155" s="192"/>
      <c r="S155" s="192">
        <f>IF(AND(Daten!$AD155&lt;=Limits!$I$70,Daten!$AE155&gt;=Limits!$I$70)=TRUE,1,0)</f>
        <v>0</v>
      </c>
      <c r="T155" s="193">
        <f ca="1">IF(Daten!$Y155=Sprache!$A$135,1,0)</f>
        <v>0</v>
      </c>
      <c r="U155" s="124" t="str">
        <f ca="1">Sprache!$A$62</f>
        <v>T-105 Коленчатый подъемник</v>
      </c>
      <c r="V155" s="194" t="str">
        <f ca="1">Sprache!$A$74</f>
        <v>var</v>
      </c>
      <c r="W155" s="193" t="str">
        <f ca="1">Sprache!$A$74</f>
        <v>var</v>
      </c>
      <c r="X155" s="187" t="str">
        <f ca="1">Sprache!$A$70</f>
        <v>соединение с древесиной</v>
      </c>
      <c r="Y155" s="187" t="str">
        <f ca="1">Sprache!$A$136</f>
        <v>nein</v>
      </c>
      <c r="Z155" s="187" t="str">
        <f ca="1">Sprache!$A$79</f>
        <v>Створка</v>
      </c>
      <c r="AA155" s="187">
        <v>500</v>
      </c>
      <c r="AB155" s="124">
        <v>500</v>
      </c>
      <c r="AC155" s="187"/>
      <c r="AD155" s="195">
        <v>3.3</v>
      </c>
      <c r="AE155" s="196">
        <v>6.7</v>
      </c>
      <c r="AF155" s="263" t="str">
        <f>MID(Tabelle2[[#This Row],[bnr full]],1,4)</f>
        <v>F151</v>
      </c>
      <c r="AG155" s="264" t="str">
        <f>MID(Tabelle2[[#This Row],[bnr full]],5,3)</f>
        <v>145</v>
      </c>
      <c r="AH155" s="265" t="str">
        <f>MID(Tabelle2[[#This Row],[bnr full]],8,3)</f>
        <v>218</v>
      </c>
      <c r="AI155" s="264" t="str">
        <f>MID(Tabelle2[[#This Row],[bnr full]],11,3)</f>
        <v>201</v>
      </c>
      <c r="AJ155" s="252" t="str">
        <f>MID(Tabelle2[[#This Row],[bnr full]],11,3)</f>
        <v>201</v>
      </c>
      <c r="AK155" s="197" t="s">
        <v>786</v>
      </c>
      <c r="AL155" s="124" t="str">
        <f ca="1">Sprache!$A$112</f>
        <v>Правый</v>
      </c>
      <c r="AM155" s="187" t="str">
        <f ca="1">Sprache!$A$134</f>
        <v>2 коленчатых подъемника</v>
      </c>
      <c r="AN155" s="187" t="str">
        <f ca="1">Sprache!$A$126</f>
        <v>Пружина, черная</v>
      </c>
      <c r="AO155" s="187" t="str">
        <f ca="1">Sprache!$A$148</f>
        <v>Коленчатый подъемник Kinvaro T-105, правый</v>
      </c>
      <c r="AP155" s="187" t="s">
        <v>817</v>
      </c>
      <c r="AQ155" s="187">
        <f>Limits!$K$9</f>
        <v>200</v>
      </c>
      <c r="AR155" s="124">
        <v>1200</v>
      </c>
      <c r="AS155" s="187" t="str">
        <f ca="1">CONCATENATE("TIOMOS 110° ",Sprache!$A$98)</f>
        <v>TIOMOS 110° Шарнир</v>
      </c>
      <c r="AT155" s="187" t="str">
        <f ca="1">CONCATENATE("1D° ",Sprache!$A$149)</f>
        <v>1D° Монтажная плита</v>
      </c>
    </row>
    <row r="156" spans="1:55" s="4" customFormat="1" hidden="1" x14ac:dyDescent="0.25">
      <c r="A156" s="12" t="str">
        <f ca="1">IF(F156+G156+H156+I156+J156+D156+E156=3,IF(Tabelle2[[#This Row],[Kappe Weiß]]=Limits!$R$29,1,""),"")</f>
        <v/>
      </c>
      <c r="B156" s="12" t="str">
        <f ca="1">IF(G156+H156+I156+J156+E156+F156=2,IF(Tabelle2[[#This Row],[Kappe Weiß]]=Limits!$R$29,1,""),"")</f>
        <v/>
      </c>
      <c r="C156" s="291">
        <v>0</v>
      </c>
      <c r="D156" s="171">
        <f>IF(Limits!$P$12=TRUE,1,0)</f>
        <v>0</v>
      </c>
      <c r="E156" s="172">
        <f>IF(Daten!$P156+Daten!$Q156+Daten!$S156=3,1,0)</f>
        <v>0</v>
      </c>
      <c r="F156" s="173">
        <f ca="1">IF(AND(Limits!$Q$21=TRUE,Daten!O156=1)=TRUE,1,0)</f>
        <v>0</v>
      </c>
      <c r="G156" s="174">
        <f>IF(AND(Limits!$Q$25=TRUE,Daten!N156=1)=TRUE,1,0)</f>
        <v>0</v>
      </c>
      <c r="H156" s="174">
        <f>IF(AND(Limits!$Q$24=TRUE,Daten!M156=1)=TRUE,1,0)</f>
        <v>0</v>
      </c>
      <c r="I156" s="174">
        <f>IF(AND(Limits!$Q$23=TRUE,Daten!L156=1)=TRUE,1,0)</f>
        <v>0</v>
      </c>
      <c r="J156" s="174">
        <f>IF(AND(Limits!$Q$22=TRUE,Daten!K156=1)=TRUE,1,0)</f>
        <v>0</v>
      </c>
      <c r="K156" s="188">
        <f>IF(Daten!$V156=13,1,0)</f>
        <v>0</v>
      </c>
      <c r="L156" s="189">
        <f>IF(Daten!$V156&lt;&gt;Daten!$W156,1,IF(Daten!$V156=14,1,0))</f>
        <v>1</v>
      </c>
      <c r="M156" s="189">
        <f>IF(Daten!$V156&lt;&gt;Daten!$W156,1,IF(Daten!$V156=16,1,0))</f>
        <v>0</v>
      </c>
      <c r="N156" s="189">
        <f>IF(Daten!$W156=17,1,0)</f>
        <v>0</v>
      </c>
      <c r="O156" s="190">
        <f ca="1">IF(Daten!$X156=Sprache!$A$70,1,0)</f>
        <v>0</v>
      </c>
      <c r="P156" s="191">
        <f>IF(AND(Daten!$AQ156&lt;=KINVARO!$AW$3,Daten!$AR156&gt;=KINVARO!$AW$3)=TRUE,1,0)</f>
        <v>1</v>
      </c>
      <c r="Q156" s="192">
        <f>IF(AND(Daten!$AA156&lt;=KINVARO!$AW$4,Daten!$AB156&gt;=KINVARO!$AW$4)=TRUE,1,0)</f>
        <v>0</v>
      </c>
      <c r="R156" s="192"/>
      <c r="S156" s="192">
        <f>IF(AND(Daten!$AD156&lt;=Limits!$I$70,Daten!$AE156&gt;=Limits!$I$70)=TRUE,1,0)</f>
        <v>0</v>
      </c>
      <c r="T156" s="193">
        <f ca="1">IF(Daten!$Y156=Sprache!$A$135,1,0)</f>
        <v>0</v>
      </c>
      <c r="U156" s="124" t="str">
        <f ca="1">Sprache!$A$62</f>
        <v>T-105 Коленчатый подъемник</v>
      </c>
      <c r="V156" s="194">
        <v>14</v>
      </c>
      <c r="W156" s="193">
        <v>14</v>
      </c>
      <c r="X156" s="187" t="str">
        <f ca="1">Sprache!$A$141</f>
        <v>Alu</v>
      </c>
      <c r="Y156" s="187" t="str">
        <f ca="1">Sprache!$A$136</f>
        <v>nein</v>
      </c>
      <c r="Z156" s="187" t="str">
        <f ca="1">Sprache!$A$79</f>
        <v>Створка</v>
      </c>
      <c r="AA156" s="187">
        <v>500</v>
      </c>
      <c r="AB156" s="124">
        <v>500</v>
      </c>
      <c r="AC156" s="187"/>
      <c r="AD156" s="195">
        <v>2.2000000000000002</v>
      </c>
      <c r="AE156" s="196">
        <v>5.8</v>
      </c>
      <c r="AF156" s="263" t="str">
        <f>MID(Tabelle2[[#This Row],[bnr full]],1,4)</f>
        <v>F151</v>
      </c>
      <c r="AG156" s="264" t="str">
        <f>MID(Tabelle2[[#This Row],[bnr full]],5,3)</f>
        <v>145</v>
      </c>
      <c r="AH156" s="265" t="str">
        <f>MID(Tabelle2[[#This Row],[bnr full]],8,3)</f>
        <v>214</v>
      </c>
      <c r="AI156" s="264" t="str">
        <f>MID(Tabelle2[[#This Row],[bnr full]],11,3)</f>
        <v>201</v>
      </c>
      <c r="AJ156" s="252" t="str">
        <f>MID(Tabelle2[[#This Row],[bnr full]],11,3)</f>
        <v>201</v>
      </c>
      <c r="AK156" s="197" t="s">
        <v>787</v>
      </c>
      <c r="AL156" s="124" t="str">
        <f ca="1">Sprache!$A$112</f>
        <v>Правый</v>
      </c>
      <c r="AM156" s="187" t="str">
        <f ca="1">Sprache!$A$134</f>
        <v>2 коленчатых подъемника</v>
      </c>
      <c r="AN156" s="187" t="str">
        <f ca="1">Sprache!$A$125</f>
        <v>Пружина, стандарт</v>
      </c>
      <c r="AO156" s="187" t="str">
        <f ca="1">Sprache!$A$148</f>
        <v>Коленчатый подъемник Kinvaro T-105, правый</v>
      </c>
      <c r="AP156" s="187" t="s">
        <v>818</v>
      </c>
      <c r="AQ156" s="187">
        <f>Limits!$K$9</f>
        <v>200</v>
      </c>
      <c r="AR156" s="124">
        <v>1200</v>
      </c>
      <c r="AS156" s="187" t="str">
        <f ca="1">CONCATENATE("TIOMOS 110° ",Sprache!$A$150)</f>
        <v>TIOMOS 110° Шарнир для алюминиевой рамки</v>
      </c>
      <c r="AT156" s="187" t="str">
        <f ca="1">CONCATENATE("1D° ",Sprache!$A$149)</f>
        <v>1D° Монтажная плита</v>
      </c>
    </row>
    <row r="157" spans="1:55" s="5" customFormat="1" hidden="1" x14ac:dyDescent="0.25">
      <c r="A157" s="239" t="str">
        <f ca="1">IF(F157+G157+H157+I157+J157+D157+E157=3,IF(Tabelle2[[#This Row],[Kappe Weiß]]=Limits!$R$29,1,""),"")</f>
        <v/>
      </c>
      <c r="B157" s="239" t="str">
        <f ca="1">IF(G157+H157+I157+J157+E157+F157=2,IF(Tabelle2[[#This Row],[Kappe Weiß]]=Limits!$R$29,1,""),"")</f>
        <v/>
      </c>
      <c r="C157" s="294">
        <v>0</v>
      </c>
      <c r="D157" s="207">
        <f>IF(Limits!$P$12=TRUE,1,0)</f>
        <v>0</v>
      </c>
      <c r="E157" s="240">
        <f>IF(Daten!$P157+Daten!$Q157+Daten!$S157=3,1,0)</f>
        <v>0</v>
      </c>
      <c r="F157" s="241">
        <f ca="1">IF(AND(Limits!$Q$21=TRUE,Daten!O157=1)=TRUE,1,0)</f>
        <v>0</v>
      </c>
      <c r="G157" s="242">
        <f>IF(AND(Limits!$Q$25=TRUE,Daten!N157=1)=TRUE,1,0)</f>
        <v>0</v>
      </c>
      <c r="H157" s="242">
        <f>IF(AND(Limits!$Q$24=TRUE,Daten!M157=1)=TRUE,1,0)</f>
        <v>0</v>
      </c>
      <c r="I157" s="242">
        <f>IF(AND(Limits!$Q$23=TRUE,Daten!L157=1)=TRUE,1,0)</f>
        <v>0</v>
      </c>
      <c r="J157" s="242">
        <f>IF(AND(Limits!$Q$22=TRUE,Daten!K157=1)=TRUE,1,0)</f>
        <v>0</v>
      </c>
      <c r="K157" s="243">
        <f>IF(Daten!$V157=13,1,0)</f>
        <v>0</v>
      </c>
      <c r="L157" s="244">
        <f>IF(Daten!$V157&lt;&gt;Daten!$W157,1,IF(Daten!$V157=14,1,0))</f>
        <v>0</v>
      </c>
      <c r="M157" s="244">
        <f>IF(Daten!$V157&lt;&gt;Daten!$W157,1,IF(Daten!$V157=16,1,0))</f>
        <v>1</v>
      </c>
      <c r="N157" s="244">
        <f>IF(Daten!$W157=17,1,0)</f>
        <v>0</v>
      </c>
      <c r="O157" s="245">
        <f ca="1">IF(Daten!$X157=Sprache!$A$70,1,0)</f>
        <v>0</v>
      </c>
      <c r="P157" s="217">
        <f>IF(AND(Daten!$AQ157&lt;=KINVARO!$AW$3,Daten!$AR157&gt;=KINVARO!$AW$3)=TRUE,1,0)</f>
        <v>1</v>
      </c>
      <c r="Q157" s="218">
        <f>IF(AND(Daten!$AA157&lt;=KINVARO!$AW$4,Daten!$AB157&gt;=KINVARO!$AW$4)=TRUE,1,0)</f>
        <v>0</v>
      </c>
      <c r="R157" s="218"/>
      <c r="S157" s="218">
        <f>IF(AND(Daten!$AD157&lt;=Limits!$I$70,Daten!$AE157&gt;=Limits!$I$70)=TRUE,1,0)</f>
        <v>0</v>
      </c>
      <c r="T157" s="219">
        <f ca="1">IF(Daten!$Y157=Sprache!$A$135,1,0)</f>
        <v>0</v>
      </c>
      <c r="U157" s="132" t="str">
        <f ca="1">Sprache!$A$62</f>
        <v>T-105 Коленчатый подъемник</v>
      </c>
      <c r="V157" s="221">
        <v>16</v>
      </c>
      <c r="W157" s="219">
        <v>16</v>
      </c>
      <c r="X157" s="220" t="str">
        <f ca="1">Sprache!$A$141</f>
        <v>Alu</v>
      </c>
      <c r="Y157" s="220" t="str">
        <f ca="1">Sprache!$A$136</f>
        <v>nein</v>
      </c>
      <c r="Z157" s="220" t="str">
        <f ca="1">Sprache!$A$79</f>
        <v>Створка</v>
      </c>
      <c r="AA157" s="220">
        <v>500</v>
      </c>
      <c r="AB157" s="132">
        <v>500</v>
      </c>
      <c r="AC157" s="220"/>
      <c r="AD157" s="222">
        <v>2.2000000000000002</v>
      </c>
      <c r="AE157" s="223">
        <v>5.8</v>
      </c>
      <c r="AF157" s="272" t="str">
        <f>MID(Tabelle2[[#This Row],[bnr full]],1,4)</f>
        <v>F151</v>
      </c>
      <c r="AG157" s="273" t="str">
        <f>MID(Tabelle2[[#This Row],[bnr full]],5,3)</f>
        <v>145</v>
      </c>
      <c r="AH157" s="274" t="str">
        <f>MID(Tabelle2[[#This Row],[bnr full]],8,3)</f>
        <v>216</v>
      </c>
      <c r="AI157" s="273" t="str">
        <f>MID(Tabelle2[[#This Row],[bnr full]],11,3)</f>
        <v>201</v>
      </c>
      <c r="AJ157" s="255" t="str">
        <f>MID(Tabelle2[[#This Row],[bnr full]],11,3)</f>
        <v>201</v>
      </c>
      <c r="AK157" s="224" t="s">
        <v>788</v>
      </c>
      <c r="AL157" s="132" t="str">
        <f ca="1">Sprache!$A$112</f>
        <v>Правый</v>
      </c>
      <c r="AM157" s="220" t="str">
        <f ca="1">Sprache!$A$134</f>
        <v>2 коленчатых подъемника</v>
      </c>
      <c r="AN157" s="220" t="str">
        <f ca="1">Sprache!$A$125</f>
        <v>Пружина, стандарт</v>
      </c>
      <c r="AO157" s="220" t="str">
        <f ca="1">Sprache!$A$148</f>
        <v>Коленчатый подъемник Kinvaro T-105, правый</v>
      </c>
      <c r="AP157" s="220" t="s">
        <v>819</v>
      </c>
      <c r="AQ157" s="220">
        <f>Limits!$K$9</f>
        <v>200</v>
      </c>
      <c r="AR157" s="132">
        <v>1200</v>
      </c>
      <c r="AS157" s="220" t="str">
        <f ca="1">CONCATENATE("TIOMOS 110° ",Sprache!$A$150)</f>
        <v>TIOMOS 110° Шарнир для алюминиевой рамки</v>
      </c>
      <c r="AT157" s="220" t="str">
        <f ca="1">CONCATENATE("1D° ",Sprache!$A$149)</f>
        <v>1D° Монтажная плита</v>
      </c>
    </row>
    <row r="158" spans="1:55" s="4" customFormat="1" hidden="1" x14ac:dyDescent="0.25">
      <c r="A158" s="12" t="str">
        <f ca="1">IF(F158+G158+H158+I158+J158+D158+E158=3,IF(Tabelle2[[#This Row],[Kappe Weiß]]=Limits!$R$29,1,""),"")</f>
        <v/>
      </c>
      <c r="B158" s="12" t="str">
        <f ca="1">IF(G158+H158+I158+J158+E158+F158=2,IF(Tabelle2[[#This Row],[Kappe Weiß]]=Limits!$R$29,1,""),"")</f>
        <v/>
      </c>
      <c r="C158" s="291">
        <v>1</v>
      </c>
      <c r="D158" s="171">
        <f>IF(Limits!$P$12=TRUE,1,0)</f>
        <v>0</v>
      </c>
      <c r="E158" s="172">
        <f>IF(Daten!$P158+Daten!$Q158+Daten!$S158=3,1,0)</f>
        <v>0</v>
      </c>
      <c r="F158" s="173">
        <f ca="1">IF(AND(Limits!$Q$21=TRUE,Daten!O158=1)=TRUE,1,0)</f>
        <v>1</v>
      </c>
      <c r="G158" s="174">
        <f ca="1">IF(AND(Limits!$Q$25=TRUE,Daten!N158=1)=TRUE,1,0)</f>
        <v>0</v>
      </c>
      <c r="H158" s="174">
        <f ca="1">IF(AND(Limits!$Q$24=TRUE,Daten!M158=1)=TRUE,1,0)</f>
        <v>0</v>
      </c>
      <c r="I158" s="174">
        <f ca="1">IF(AND(Limits!$Q$23=TRUE,Daten!L158=1)=TRUE,1,0)</f>
        <v>0</v>
      </c>
      <c r="J158" s="174">
        <f ca="1">IF(AND(Limits!$Q$22=TRUE,Daten!K158=1)=TRUE,1,0)</f>
        <v>0</v>
      </c>
      <c r="K158" s="188">
        <f ca="1">IF(Daten!$V158=13,1,0)</f>
        <v>0</v>
      </c>
      <c r="L158" s="189">
        <f ca="1">IF(Daten!$V158&lt;&gt;Daten!$W158,1,IF(Daten!$V158=14,1,0))</f>
        <v>0</v>
      </c>
      <c r="M158" s="189">
        <f ca="1">IF(Daten!$V158&lt;&gt;Daten!$W158,1,IF(Daten!$V158=16,1,0))</f>
        <v>0</v>
      </c>
      <c r="N158" s="189">
        <f ca="1">IF(Daten!$W158=17,1,0)</f>
        <v>0</v>
      </c>
      <c r="O158" s="190">
        <f ca="1">IF(Daten!$X158=Sprache!$A$70,1,0)</f>
        <v>1</v>
      </c>
      <c r="P158" s="191">
        <f>IF(AND(Daten!$AQ158&lt;=KINVARO!$AW$3,Daten!$AR158&gt;=KINVARO!$AW$3)=TRUE,1,0)</f>
        <v>1</v>
      </c>
      <c r="Q158" s="192">
        <f>IF(AND(Daten!$AA158&lt;=KINVARO!$AW$4,Daten!$AB158&gt;=KINVARO!$AW$4)=TRUE,1,0)</f>
        <v>0</v>
      </c>
      <c r="R158" s="192"/>
      <c r="S158" s="192">
        <f>IF(AND(Daten!$AD158&lt;=Limits!$I$70,Daten!$AE158&gt;=Limits!$I$70)=TRUE,1,0)</f>
        <v>0</v>
      </c>
      <c r="T158" s="193">
        <f ca="1">IF(Daten!$Y158=Sprache!$A$135,1,0)</f>
        <v>0</v>
      </c>
      <c r="U158" s="124" t="str">
        <f ca="1">Sprache!$A$62</f>
        <v>T-105 Коленчатый подъемник</v>
      </c>
      <c r="V158" s="194" t="str">
        <f ca="1">Sprache!$A$74</f>
        <v>var</v>
      </c>
      <c r="W158" s="194" t="str">
        <f ca="1">Sprache!$A$74</f>
        <v>var</v>
      </c>
      <c r="X158" s="187" t="str">
        <f ca="1">Sprache!$A$70</f>
        <v>соединение с древесиной</v>
      </c>
      <c r="Y158" s="187" t="str">
        <f ca="1">Sprache!$A$136</f>
        <v>nein</v>
      </c>
      <c r="Z158" s="187" t="str">
        <f ca="1">Sprache!$A$79</f>
        <v>Створка</v>
      </c>
      <c r="AA158" s="187">
        <v>250</v>
      </c>
      <c r="AB158" s="124">
        <v>299</v>
      </c>
      <c r="AC158" s="187"/>
      <c r="AD158" s="195">
        <v>1.4</v>
      </c>
      <c r="AE158" s="196">
        <v>4.4000000000000004</v>
      </c>
      <c r="AF158" s="263" t="str">
        <f>MID(Tabelle2[[#This Row],[bnr full]],1,4)</f>
        <v>F151</v>
      </c>
      <c r="AG158" s="264" t="str">
        <f>MID(Tabelle2[[#This Row],[bnr full]],5,3)</f>
        <v>145</v>
      </c>
      <c r="AH158" s="265" t="str">
        <f>MID(Tabelle2[[#This Row],[bnr full]],8,3)</f>
        <v>220</v>
      </c>
      <c r="AI158" s="264" t="str">
        <f>MID(Tabelle2[[#This Row],[bnr full]],11,3)</f>
        <v>201</v>
      </c>
      <c r="AJ158" s="252" t="str">
        <f>MID(Tabelle2[[#This Row],[bnr full]],11,3)</f>
        <v>201</v>
      </c>
      <c r="AK158" s="197" t="s">
        <v>785</v>
      </c>
      <c r="AL158" s="124" t="str">
        <f ca="1">Sprache!$A$112</f>
        <v>Правый</v>
      </c>
      <c r="AM158" s="187" t="str">
        <f ca="1">Sprache!$A$133</f>
        <v>1 коленчатый подъемник</v>
      </c>
      <c r="AN158" s="187" t="str">
        <f ca="1">Sprache!$A$125</f>
        <v>Пружина, стандарт</v>
      </c>
      <c r="AO158" s="187" t="str">
        <f ca="1">Sprache!$A$148</f>
        <v>Коленчатый подъемник Kinvaro T-105, правый</v>
      </c>
      <c r="AP158" s="187" t="s">
        <v>816</v>
      </c>
      <c r="AQ158" s="187">
        <f>Limits!$K$9</f>
        <v>200</v>
      </c>
      <c r="AR158" s="124">
        <v>1200</v>
      </c>
      <c r="AS158" s="187" t="str">
        <f ca="1">CONCATENATE("TIOMOS 110° ",Sprache!$A$98)</f>
        <v>TIOMOS 110° Шарнир</v>
      </c>
      <c r="AT158" s="187" t="str">
        <f ca="1">CONCATENATE("1D° ",Sprache!$A$149)</f>
        <v>1D° Монтажная плита</v>
      </c>
    </row>
    <row r="159" spans="1:55" s="8" customFormat="1" ht="15.75" hidden="1" thickBot="1" x14ac:dyDescent="0.3">
      <c r="A159" s="12" t="str">
        <f ca="1">IF(F159+G159+H159+I159+J159+D159+E159=3,IF(Tabelle2[[#This Row],[Kappe Weiß]]=Limits!$R$29,1,""),"")</f>
        <v/>
      </c>
      <c r="B159" s="12" t="str">
        <f ca="1">IF(G159+H159+I159+J159+E159+F159=2,IF(Tabelle2[[#This Row],[Kappe Weiß]]=Limits!$R$29,1,""),"")</f>
        <v/>
      </c>
      <c r="C159" s="291">
        <v>1</v>
      </c>
      <c r="D159" s="171">
        <f>IF(Limits!$P$12=TRUE,1,0)</f>
        <v>0</v>
      </c>
      <c r="E159" s="172">
        <f>IF(Daten!$P159+Daten!$Q159+Daten!$S159=3,1,0)</f>
        <v>0</v>
      </c>
      <c r="F159" s="173">
        <f ca="1">IF(AND(Limits!$Q$21=TRUE,Daten!O159=1)=TRUE,1,0)</f>
        <v>1</v>
      </c>
      <c r="G159" s="174">
        <f ca="1">IF(AND(Limits!$Q$25=TRUE,Daten!N159=1)=TRUE,1,0)</f>
        <v>0</v>
      </c>
      <c r="H159" s="174">
        <f ca="1">IF(AND(Limits!$Q$24=TRUE,Daten!M159=1)=TRUE,1,0)</f>
        <v>0</v>
      </c>
      <c r="I159" s="174">
        <f ca="1">IF(AND(Limits!$Q$23=TRUE,Daten!L159=1)=TRUE,1,0)</f>
        <v>0</v>
      </c>
      <c r="J159" s="174">
        <f ca="1">IF(AND(Limits!$Q$22=TRUE,Daten!K159=1)=TRUE,1,0)</f>
        <v>0</v>
      </c>
      <c r="K159" s="188">
        <f ca="1">IF(Daten!$V159=13,1,0)</f>
        <v>0</v>
      </c>
      <c r="L159" s="189">
        <f ca="1">IF(Daten!$V159&lt;&gt;Daten!$W159,1,IF(Daten!$V159=14,1,0))</f>
        <v>0</v>
      </c>
      <c r="M159" s="189">
        <f ca="1">IF(Daten!$V159&lt;&gt;Daten!$W159,1,IF(Daten!$V159=16,1,0))</f>
        <v>0</v>
      </c>
      <c r="N159" s="189">
        <f ca="1">IF(Daten!$W159=17,1,0)</f>
        <v>0</v>
      </c>
      <c r="O159" s="190">
        <f ca="1">IF(Daten!$X159=Sprache!$A$70,1,0)</f>
        <v>1</v>
      </c>
      <c r="P159" s="191">
        <f>IF(AND(Daten!$AQ159&lt;=KINVARO!$AW$3,Daten!$AR159&gt;=KINVARO!$AW$3)=TRUE,1,0)</f>
        <v>1</v>
      </c>
      <c r="Q159" s="192">
        <f>IF(AND(Daten!$AA159&lt;=KINVARO!$AW$4,Daten!$AB159&gt;=KINVARO!$AW$4)=TRUE,1,0)</f>
        <v>0</v>
      </c>
      <c r="R159" s="192"/>
      <c r="S159" s="192">
        <f>IF(AND(Daten!$AD159&lt;=Limits!$I$70,Daten!$AE159&gt;=Limits!$I$70)=TRUE,1,0)</f>
        <v>0</v>
      </c>
      <c r="T159" s="193">
        <f ca="1">IF(Daten!$Y159=Sprache!$A$135,1,0)</f>
        <v>0</v>
      </c>
      <c r="U159" s="124" t="str">
        <f ca="1">Sprache!$A$62</f>
        <v>T-105 Коленчатый подъемник</v>
      </c>
      <c r="V159" s="202" t="str">
        <f ca="1">Sprache!$A$74</f>
        <v>var</v>
      </c>
      <c r="W159" s="202" t="str">
        <f ca="1">Sprache!$A$74</f>
        <v>var</v>
      </c>
      <c r="X159" s="203" t="str">
        <f ca="1">Sprache!$A$70</f>
        <v>соединение с древесиной</v>
      </c>
      <c r="Y159" s="187" t="str">
        <f ca="1">Sprache!$A$136</f>
        <v>nein</v>
      </c>
      <c r="Z159" s="187" t="str">
        <f ca="1">Sprache!$A$79</f>
        <v>Створка</v>
      </c>
      <c r="AA159" s="187">
        <v>250</v>
      </c>
      <c r="AB159" s="124">
        <v>299</v>
      </c>
      <c r="AC159" s="187"/>
      <c r="AD159" s="195">
        <v>3</v>
      </c>
      <c r="AE159" s="196">
        <v>5.5</v>
      </c>
      <c r="AF159" s="263" t="str">
        <f>MID(Tabelle2[[#This Row],[bnr full]],1,4)</f>
        <v>F151</v>
      </c>
      <c r="AG159" s="264" t="str">
        <f>MID(Tabelle2[[#This Row],[bnr full]],5,3)</f>
        <v>145</v>
      </c>
      <c r="AH159" s="265" t="str">
        <f>MID(Tabelle2[[#This Row],[bnr full]],8,3)</f>
        <v>218</v>
      </c>
      <c r="AI159" s="264" t="str">
        <f>MID(Tabelle2[[#This Row],[bnr full]],11,3)</f>
        <v>201</v>
      </c>
      <c r="AJ159" s="252" t="str">
        <f>MID(Tabelle2[[#This Row],[bnr full]],11,3)</f>
        <v>201</v>
      </c>
      <c r="AK159" s="197" t="s">
        <v>786</v>
      </c>
      <c r="AL159" s="124" t="str">
        <f ca="1">Sprache!$A$112</f>
        <v>Правый</v>
      </c>
      <c r="AM159" s="187" t="str">
        <f ca="1">Sprache!$A$133</f>
        <v>1 коленчатый подъемник</v>
      </c>
      <c r="AN159" s="187" t="str">
        <f ca="1">Sprache!$A$126</f>
        <v>Пружина, черная</v>
      </c>
      <c r="AO159" s="187" t="str">
        <f ca="1">Sprache!$A$148</f>
        <v>Коленчатый подъемник Kinvaro T-105, правый</v>
      </c>
      <c r="AP159" s="187" t="s">
        <v>817</v>
      </c>
      <c r="AQ159" s="187">
        <f>Limits!$K$9</f>
        <v>200</v>
      </c>
      <c r="AR159" s="124">
        <v>1200</v>
      </c>
      <c r="AS159" s="187" t="str">
        <f ca="1">CONCATENATE("TIOMOS 110° ",Sprache!$A$98)</f>
        <v>TIOMOS 110° Шарнир</v>
      </c>
      <c r="AT159" s="187" t="str">
        <f ca="1">CONCATENATE("1D° ",Sprache!$A$149)</f>
        <v>1D° Монтажная плита</v>
      </c>
    </row>
    <row r="160" spans="1:55" hidden="1" x14ac:dyDescent="0.25">
      <c r="A160" s="12" t="str">
        <f ca="1">IF(F160+G160+H160+I160+J160+D160+E160=3,IF(Tabelle2[[#This Row],[Kappe Weiß]]=Limits!$R$29,1,""),"")</f>
        <v/>
      </c>
      <c r="B160" s="12" t="str">
        <f ca="1">IF(G160+H160+I160+J160+E160+F160=2,IF(Tabelle2[[#This Row],[Kappe Weiß]]=Limits!$R$29,1,""),"")</f>
        <v/>
      </c>
      <c r="C160" s="291">
        <v>1</v>
      </c>
      <c r="D160" s="171">
        <f>IF(Limits!$P$12=TRUE,1,0)</f>
        <v>0</v>
      </c>
      <c r="E160" s="172">
        <f>IF(Daten!$P160+Daten!$Q160+Daten!$S160=3,1,0)</f>
        <v>0</v>
      </c>
      <c r="F160" s="173">
        <f ca="1">IF(AND(Limits!$Q$21=TRUE,Daten!O160=1)=TRUE,1,0)</f>
        <v>0</v>
      </c>
      <c r="G160" s="174">
        <f>IF(AND(Limits!$Q$25=TRUE,Daten!N160=1)=TRUE,1,0)</f>
        <v>0</v>
      </c>
      <c r="H160" s="174">
        <f>IF(AND(Limits!$Q$24=TRUE,Daten!M160=1)=TRUE,1,0)</f>
        <v>0</v>
      </c>
      <c r="I160" s="174">
        <f>IF(AND(Limits!$Q$23=TRUE,Daten!L160=1)=TRUE,1,0)</f>
        <v>0</v>
      </c>
      <c r="J160" s="174">
        <f>IF(AND(Limits!$Q$22=TRUE,Daten!K160=1)=TRUE,1,0)</f>
        <v>0</v>
      </c>
      <c r="K160" s="188">
        <f>IF(Daten!$V160=13,1,0)</f>
        <v>0</v>
      </c>
      <c r="L160" s="189">
        <f>IF(Daten!$V160&lt;&gt;Daten!$W160,1,IF(Daten!$V160=14,1,0))</f>
        <v>1</v>
      </c>
      <c r="M160" s="189">
        <f>IF(Daten!$V160&lt;&gt;Daten!$W160,1,IF(Daten!$V160=16,1,0))</f>
        <v>0</v>
      </c>
      <c r="N160" s="189">
        <f>IF(Daten!$W160=17,1,0)</f>
        <v>0</v>
      </c>
      <c r="O160" s="190">
        <f ca="1">IF(Daten!$X160=Sprache!$A$70,1,0)</f>
        <v>0</v>
      </c>
      <c r="P160" s="191">
        <f>IF(AND(Daten!$AQ160&lt;=KINVARO!$AW$3,Daten!$AR160&gt;=KINVARO!$AW$3)=TRUE,1,0)</f>
        <v>1</v>
      </c>
      <c r="Q160" s="192">
        <f>IF(AND(Daten!$AA160&lt;=KINVARO!$AW$4,Daten!$AB160&gt;=KINVARO!$AW$4)=TRUE,1,0)</f>
        <v>0</v>
      </c>
      <c r="R160" s="192"/>
      <c r="S160" s="192">
        <f>IF(AND(Daten!$AD160&lt;=Limits!$I$70,Daten!$AE160&gt;=Limits!$I$70)=TRUE,1,0)</f>
        <v>0</v>
      </c>
      <c r="T160" s="193">
        <f ca="1">IF(Daten!$Y160=Sprache!$A$135,1,0)</f>
        <v>0</v>
      </c>
      <c r="U160" s="124" t="str">
        <f ca="1">Sprache!$A$62</f>
        <v>T-105 Коленчатый подъемник</v>
      </c>
      <c r="V160" s="194">
        <v>14</v>
      </c>
      <c r="W160" s="193">
        <v>14</v>
      </c>
      <c r="X160" s="187" t="str">
        <f ca="1">Sprache!$A$141</f>
        <v>Alu</v>
      </c>
      <c r="Y160" s="187" t="str">
        <f ca="1">Sprache!$A$136</f>
        <v>nein</v>
      </c>
      <c r="Z160" s="187" t="str">
        <f ca="1">Sprache!$A$79</f>
        <v>Створка</v>
      </c>
      <c r="AA160" s="187">
        <v>250</v>
      </c>
      <c r="AB160" s="124">
        <v>299</v>
      </c>
      <c r="AC160" s="187"/>
      <c r="AD160" s="195">
        <v>1.4</v>
      </c>
      <c r="AE160" s="196">
        <v>4.4000000000000004</v>
      </c>
      <c r="AF160" s="263" t="str">
        <f>MID(Tabelle2[[#This Row],[bnr full]],1,4)</f>
        <v>F151</v>
      </c>
      <c r="AG160" s="264" t="str">
        <f>MID(Tabelle2[[#This Row],[bnr full]],5,3)</f>
        <v>145</v>
      </c>
      <c r="AH160" s="265" t="str">
        <f>MID(Tabelle2[[#This Row],[bnr full]],8,3)</f>
        <v>214</v>
      </c>
      <c r="AI160" s="264" t="str">
        <f>MID(Tabelle2[[#This Row],[bnr full]],11,3)</f>
        <v>201</v>
      </c>
      <c r="AJ160" s="252" t="str">
        <f>MID(Tabelle2[[#This Row],[bnr full]],11,3)</f>
        <v>201</v>
      </c>
      <c r="AK160" s="197" t="s">
        <v>787</v>
      </c>
      <c r="AL160" s="124" t="str">
        <f ca="1">Sprache!$A$112</f>
        <v>Правый</v>
      </c>
      <c r="AM160" s="187" t="str">
        <f ca="1">Sprache!$A$133</f>
        <v>1 коленчатый подъемник</v>
      </c>
      <c r="AN160" s="187" t="str">
        <f ca="1">Sprache!$A$125</f>
        <v>Пружина, стандарт</v>
      </c>
      <c r="AO160" s="187" t="str">
        <f ca="1">Sprache!$A$148</f>
        <v>Коленчатый подъемник Kinvaro T-105, правый</v>
      </c>
      <c r="AP160" s="187" t="s">
        <v>818</v>
      </c>
      <c r="AQ160" s="187">
        <f>Limits!$K$9</f>
        <v>200</v>
      </c>
      <c r="AR160" s="124">
        <v>1200</v>
      </c>
      <c r="AS160" s="187" t="str">
        <f ca="1">CONCATENATE("TIOMOS 110° ",Sprache!$A$150)</f>
        <v>TIOMOS 110° Шарнир для алюминиевой рамки</v>
      </c>
      <c r="AT160" s="187" t="str">
        <f ca="1">CONCATENATE("1D° ",Sprache!$A$149)</f>
        <v>1D° Монтажная плита</v>
      </c>
      <c r="AU160"/>
      <c r="AV160"/>
      <c r="AY160"/>
      <c r="AZ160"/>
      <c r="BA160"/>
      <c r="BB160"/>
      <c r="BC160"/>
    </row>
    <row r="161" spans="1:55" hidden="1" x14ac:dyDescent="0.25">
      <c r="A161" s="12" t="str">
        <f ca="1">IF(F161+G161+H161+I161+J161+D161+E161=3,IF(Tabelle2[[#This Row],[Kappe Weiß]]=Limits!$R$29,1,""),"")</f>
        <v/>
      </c>
      <c r="B161" s="12" t="str">
        <f ca="1">IF(G161+H161+I161+J161+E161+F161=2,IF(Tabelle2[[#This Row],[Kappe Weiß]]=Limits!$R$29,1,""),"")</f>
        <v/>
      </c>
      <c r="C161" s="291">
        <v>1</v>
      </c>
      <c r="D161" s="171">
        <f>IF(Limits!$P$12=TRUE,1,0)</f>
        <v>0</v>
      </c>
      <c r="E161" s="172">
        <f>IF(Daten!$P161+Daten!$Q161+Daten!$S161=3,1,0)</f>
        <v>0</v>
      </c>
      <c r="F161" s="173">
        <f ca="1">IF(AND(Limits!$Q$21=TRUE,Daten!O161=1)=TRUE,1,0)</f>
        <v>0</v>
      </c>
      <c r="G161" s="174">
        <f>IF(AND(Limits!$Q$25=TRUE,Daten!N161=1)=TRUE,1,0)</f>
        <v>0</v>
      </c>
      <c r="H161" s="174">
        <f>IF(AND(Limits!$Q$24=TRUE,Daten!M161=1)=TRUE,1,0)</f>
        <v>0</v>
      </c>
      <c r="I161" s="174">
        <f>IF(AND(Limits!$Q$23=TRUE,Daten!L161=1)=TRUE,1,0)</f>
        <v>0</v>
      </c>
      <c r="J161" s="174">
        <f>IF(AND(Limits!$Q$22=TRUE,Daten!K161=1)=TRUE,1,0)</f>
        <v>0</v>
      </c>
      <c r="K161" s="188">
        <f>IF(Daten!$V161=13,1,0)</f>
        <v>0</v>
      </c>
      <c r="L161" s="189">
        <f>IF(Daten!$V161&lt;&gt;Daten!$W161,1,IF(Daten!$V161=14,1,0))</f>
        <v>0</v>
      </c>
      <c r="M161" s="189">
        <f>IF(Daten!$V161&lt;&gt;Daten!$W161,1,IF(Daten!$V161=16,1,0))</f>
        <v>1</v>
      </c>
      <c r="N161" s="189">
        <f>IF(Daten!$W161=17,1,0)</f>
        <v>0</v>
      </c>
      <c r="O161" s="190">
        <f ca="1">IF(Daten!$X161=Sprache!$A$70,1,0)</f>
        <v>0</v>
      </c>
      <c r="P161" s="191">
        <f>IF(AND(Daten!$AQ161&lt;=KINVARO!$AW$3,Daten!$AR161&gt;=KINVARO!$AW$3)=TRUE,1,0)</f>
        <v>1</v>
      </c>
      <c r="Q161" s="192">
        <f>IF(AND(Daten!$AA161&lt;=KINVARO!$AW$4,Daten!$AB161&gt;=KINVARO!$AW$4)=TRUE,1,0)</f>
        <v>0</v>
      </c>
      <c r="R161" s="192"/>
      <c r="S161" s="192">
        <f>IF(AND(Daten!$AD161&lt;=Limits!$I$70,Daten!$AE161&gt;=Limits!$I$70)=TRUE,1,0)</f>
        <v>0</v>
      </c>
      <c r="T161" s="193">
        <f ca="1">IF(Daten!$Y161=Sprache!$A$135,1,0)</f>
        <v>0</v>
      </c>
      <c r="U161" s="124" t="str">
        <f ca="1">Sprache!$A$62</f>
        <v>T-105 Коленчатый подъемник</v>
      </c>
      <c r="V161" s="194">
        <v>16</v>
      </c>
      <c r="W161" s="193">
        <v>16</v>
      </c>
      <c r="X161" s="187" t="str">
        <f ca="1">Sprache!$A$141</f>
        <v>Alu</v>
      </c>
      <c r="Y161" s="187" t="str">
        <f ca="1">Sprache!$A$136</f>
        <v>nein</v>
      </c>
      <c r="Z161" s="187" t="str">
        <f ca="1">Sprache!$A$79</f>
        <v>Створка</v>
      </c>
      <c r="AA161" s="187">
        <v>250</v>
      </c>
      <c r="AB161" s="124">
        <v>299</v>
      </c>
      <c r="AC161" s="187"/>
      <c r="AD161" s="195">
        <v>1.4</v>
      </c>
      <c r="AE161" s="196">
        <v>4.4000000000000004</v>
      </c>
      <c r="AF161" s="263" t="str">
        <f>MID(Tabelle2[[#This Row],[bnr full]],1,4)</f>
        <v>F151</v>
      </c>
      <c r="AG161" s="264" t="str">
        <f>MID(Tabelle2[[#This Row],[bnr full]],5,3)</f>
        <v>145</v>
      </c>
      <c r="AH161" s="265" t="str">
        <f>MID(Tabelle2[[#This Row],[bnr full]],8,3)</f>
        <v>216</v>
      </c>
      <c r="AI161" s="264" t="str">
        <f>MID(Tabelle2[[#This Row],[bnr full]],11,3)</f>
        <v>201</v>
      </c>
      <c r="AJ161" s="252" t="str">
        <f>MID(Tabelle2[[#This Row],[bnr full]],11,3)</f>
        <v>201</v>
      </c>
      <c r="AK161" s="197" t="s">
        <v>788</v>
      </c>
      <c r="AL161" s="124" t="str">
        <f ca="1">Sprache!$A$112</f>
        <v>Правый</v>
      </c>
      <c r="AM161" s="187" t="str">
        <f ca="1">Sprache!$A$133</f>
        <v>1 коленчатый подъемник</v>
      </c>
      <c r="AN161" s="187" t="str">
        <f ca="1">Sprache!$A$125</f>
        <v>Пружина, стандарт</v>
      </c>
      <c r="AO161" s="187" t="str">
        <f ca="1">Sprache!$A$148</f>
        <v>Коленчатый подъемник Kinvaro T-105, правый</v>
      </c>
      <c r="AP161" s="187" t="s">
        <v>819</v>
      </c>
      <c r="AQ161" s="187">
        <f>Limits!$K$9</f>
        <v>200</v>
      </c>
      <c r="AR161" s="124">
        <v>1200</v>
      </c>
      <c r="AS161" s="187" t="str">
        <f ca="1">CONCATENATE("TIOMOS 110° ",Sprache!$A$150)</f>
        <v>TIOMOS 110° Шарнир для алюминиевой рамки</v>
      </c>
      <c r="AT161" s="187" t="str">
        <f ca="1">CONCATENATE("1D° ",Sprache!$A$149)</f>
        <v>1D° Монтажная плита</v>
      </c>
      <c r="AU161"/>
      <c r="AV161"/>
      <c r="AY161"/>
      <c r="AZ161"/>
      <c r="BA161"/>
      <c r="BB161"/>
      <c r="BC161"/>
    </row>
    <row r="162" spans="1:55" hidden="1" x14ac:dyDescent="0.25">
      <c r="A162" s="12" t="str">
        <f ca="1">IF(F162+G162+H162+I162+J162+D162+E162=3,IF(Tabelle2[[#This Row],[Kappe Weiß]]=Limits!$R$29,1,""),"")</f>
        <v/>
      </c>
      <c r="B162" s="12" t="str">
        <f ca="1">IF(G162+H162+I162+J162+E162+F162=2,IF(Tabelle2[[#This Row],[Kappe Weiß]]=Limits!$R$29,1,""),"")</f>
        <v/>
      </c>
      <c r="C162" s="291">
        <v>1</v>
      </c>
      <c r="D162" s="171">
        <f>IF(Limits!$P$12=TRUE,1,0)</f>
        <v>0</v>
      </c>
      <c r="E162" s="172">
        <f>IF(Daten!$P162+Daten!$Q162+Daten!$S162=3,1,0)</f>
        <v>0</v>
      </c>
      <c r="F162" s="173">
        <f ca="1">IF(AND(Limits!$Q$21=TRUE,Daten!O162=1)=TRUE,1,0)</f>
        <v>1</v>
      </c>
      <c r="G162" s="174">
        <f ca="1">IF(AND(Limits!$Q$25=TRUE,Daten!N162=1)=TRUE,1,0)</f>
        <v>0</v>
      </c>
      <c r="H162" s="174">
        <f ca="1">IF(AND(Limits!$Q$24=TRUE,Daten!M162=1)=TRUE,1,0)</f>
        <v>0</v>
      </c>
      <c r="I162" s="174">
        <f ca="1">IF(AND(Limits!$Q$23=TRUE,Daten!L162=1)=TRUE,1,0)</f>
        <v>0</v>
      </c>
      <c r="J162" s="174">
        <f ca="1">IF(AND(Limits!$Q$22=TRUE,Daten!K162=1)=TRUE,1,0)</f>
        <v>0</v>
      </c>
      <c r="K162" s="188">
        <f ca="1">IF(Daten!$V162=13,1,0)</f>
        <v>0</v>
      </c>
      <c r="L162" s="189">
        <f ca="1">IF(Daten!$V162&lt;&gt;Daten!$W162,1,IF(Daten!$V162=14,1,0))</f>
        <v>0</v>
      </c>
      <c r="M162" s="189">
        <f ca="1">IF(Daten!$V162&lt;&gt;Daten!$W162,1,IF(Daten!$V162=16,1,0))</f>
        <v>0</v>
      </c>
      <c r="N162" s="189">
        <f ca="1">IF(Daten!$W162=17,1,0)</f>
        <v>0</v>
      </c>
      <c r="O162" s="190">
        <f ca="1">IF(Daten!$X162=Sprache!$A$70,1,0)</f>
        <v>1</v>
      </c>
      <c r="P162" s="191">
        <f>IF(AND(Daten!$AQ162&lt;=KINVARO!$AW$3,Daten!$AR162&gt;=KINVARO!$AW$3)=TRUE,1,0)</f>
        <v>1</v>
      </c>
      <c r="Q162" s="192">
        <f>IF(AND(Daten!$AA162&lt;=KINVARO!$AW$4,Daten!$AB162&gt;=KINVARO!$AW$4)=TRUE,1,0)</f>
        <v>0</v>
      </c>
      <c r="R162" s="192"/>
      <c r="S162" s="192">
        <f>IF(AND(Daten!$AD162&lt;=Limits!$I$70,Daten!$AE162&gt;=Limits!$I$70)=TRUE,1,0)</f>
        <v>0</v>
      </c>
      <c r="T162" s="193">
        <f ca="1">IF(Daten!$Y162=Sprache!$A$135,1,0)</f>
        <v>0</v>
      </c>
      <c r="U162" s="124" t="str">
        <f ca="1">Sprache!$A$62</f>
        <v>T-105 Коленчатый подъемник</v>
      </c>
      <c r="V162" s="202" t="str">
        <f ca="1">Sprache!$A$74</f>
        <v>var</v>
      </c>
      <c r="W162" s="202" t="str">
        <f ca="1">Sprache!$A$74</f>
        <v>var</v>
      </c>
      <c r="X162" s="203" t="str">
        <f ca="1">Sprache!$A$70</f>
        <v>соединение с древесиной</v>
      </c>
      <c r="Y162" s="187" t="str">
        <f ca="1">Sprache!$A$136</f>
        <v>nein</v>
      </c>
      <c r="Z162" s="187" t="str">
        <f ca="1">Sprache!$A$79</f>
        <v>Створка</v>
      </c>
      <c r="AA162" s="187">
        <v>250</v>
      </c>
      <c r="AB162" s="124">
        <v>299</v>
      </c>
      <c r="AC162" s="187"/>
      <c r="AD162" s="195">
        <v>3.4</v>
      </c>
      <c r="AE162" s="196">
        <v>8.9</v>
      </c>
      <c r="AF162" s="263" t="str">
        <f>MID(Tabelle2[[#This Row],[bnr full]],1,4)</f>
        <v>F151</v>
      </c>
      <c r="AG162" s="264" t="str">
        <f>MID(Tabelle2[[#This Row],[bnr full]],5,3)</f>
        <v>145</v>
      </c>
      <c r="AH162" s="265" t="str">
        <f>MID(Tabelle2[[#This Row],[bnr full]],8,3)</f>
        <v>220</v>
      </c>
      <c r="AI162" s="264" t="str">
        <f>MID(Tabelle2[[#This Row],[bnr full]],11,3)</f>
        <v>201</v>
      </c>
      <c r="AJ162" s="252" t="str">
        <f>MID(Tabelle2[[#This Row],[bnr full]],11,3)</f>
        <v>201</v>
      </c>
      <c r="AK162" s="197" t="s">
        <v>785</v>
      </c>
      <c r="AL162" s="124" t="str">
        <f ca="1">Sprache!$A$112</f>
        <v>Правый</v>
      </c>
      <c r="AM162" s="187" t="str">
        <f ca="1">Sprache!$A$134</f>
        <v>2 коленчатых подъемника</v>
      </c>
      <c r="AN162" s="187" t="str">
        <f ca="1">Sprache!$A$125</f>
        <v>Пружина, стандарт</v>
      </c>
      <c r="AO162" s="187" t="str">
        <f ca="1">Sprache!$A$148</f>
        <v>Коленчатый подъемник Kinvaro T-105, правый</v>
      </c>
      <c r="AP162" s="187" t="s">
        <v>816</v>
      </c>
      <c r="AQ162" s="187">
        <f>Limits!$K$9</f>
        <v>200</v>
      </c>
      <c r="AR162" s="124">
        <v>1200</v>
      </c>
      <c r="AS162" s="187" t="str">
        <f ca="1">CONCATENATE("TIOMOS 110° ",Sprache!$A$98)</f>
        <v>TIOMOS 110° Шарнир</v>
      </c>
      <c r="AT162" s="187" t="str">
        <f ca="1">CONCATENATE("1D° ",Sprache!$A$149)</f>
        <v>1D° Монтажная плита</v>
      </c>
      <c r="AU162"/>
      <c r="AV162"/>
      <c r="AY162"/>
      <c r="AZ162"/>
      <c r="BA162"/>
      <c r="BB162"/>
      <c r="BC162"/>
    </row>
    <row r="163" spans="1:55" s="5" customFormat="1" hidden="1" x14ac:dyDescent="0.25">
      <c r="A163" s="12" t="str">
        <f ca="1">IF(F163+G163+H163+I163+J163+D163+E163=3,IF(Tabelle2[[#This Row],[Kappe Weiß]]=Limits!$R$29,1,""),"")</f>
        <v/>
      </c>
      <c r="B163" s="12" t="str">
        <f ca="1">IF(G163+H163+I163+J163+E163+F163=2,IF(Tabelle2[[#This Row],[Kappe Weiß]]=Limits!$R$29,1,""),"")</f>
        <v/>
      </c>
      <c r="C163" s="291">
        <v>1</v>
      </c>
      <c r="D163" s="171">
        <f>IF(Limits!$P$12=TRUE,1,0)</f>
        <v>0</v>
      </c>
      <c r="E163" s="172">
        <f>IF(Daten!$P163+Daten!$Q163+Daten!$S163=3,1,0)</f>
        <v>0</v>
      </c>
      <c r="F163" s="173">
        <f ca="1">IF(AND(Limits!$Q$21=TRUE,Daten!O163=1)=TRUE,1,0)</f>
        <v>1</v>
      </c>
      <c r="G163" s="174">
        <f ca="1">IF(AND(Limits!$Q$25=TRUE,Daten!N163=1)=TRUE,1,0)</f>
        <v>0</v>
      </c>
      <c r="H163" s="174">
        <f ca="1">IF(AND(Limits!$Q$24=TRUE,Daten!M163=1)=TRUE,1,0)</f>
        <v>0</v>
      </c>
      <c r="I163" s="174">
        <f ca="1">IF(AND(Limits!$Q$23=TRUE,Daten!L163=1)=TRUE,1,0)</f>
        <v>0</v>
      </c>
      <c r="J163" s="174">
        <f ca="1">IF(AND(Limits!$Q$22=TRUE,Daten!K163=1)=TRUE,1,0)</f>
        <v>0</v>
      </c>
      <c r="K163" s="188">
        <f ca="1">IF(Daten!$V163=13,1,0)</f>
        <v>0</v>
      </c>
      <c r="L163" s="189">
        <f ca="1">IF(Daten!$V163&lt;&gt;Daten!$W163,1,IF(Daten!$V163=14,1,0))</f>
        <v>0</v>
      </c>
      <c r="M163" s="189">
        <f ca="1">IF(Daten!$V163&lt;&gt;Daten!$W163,1,IF(Daten!$V163=16,1,0))</f>
        <v>0</v>
      </c>
      <c r="N163" s="189">
        <f ca="1">IF(Daten!$W163=17,1,0)</f>
        <v>0</v>
      </c>
      <c r="O163" s="190">
        <f ca="1">IF(Daten!$X163=Sprache!$A$70,1,0)</f>
        <v>1</v>
      </c>
      <c r="P163" s="191">
        <f>IF(AND(Daten!$AQ163&lt;=KINVARO!$AW$3,Daten!$AR163&gt;=KINVARO!$AW$3)=TRUE,1,0)</f>
        <v>1</v>
      </c>
      <c r="Q163" s="192">
        <f>IF(AND(Daten!$AA163&lt;=KINVARO!$AW$4,Daten!$AB163&gt;=KINVARO!$AW$4)=TRUE,1,0)</f>
        <v>0</v>
      </c>
      <c r="R163" s="192"/>
      <c r="S163" s="192">
        <f>IF(AND(Daten!$AD163&lt;=Limits!$I$70,Daten!$AE163&gt;=Limits!$I$70)=TRUE,1,0)</f>
        <v>1</v>
      </c>
      <c r="T163" s="193">
        <f ca="1">IF(Daten!$Y163=Sprache!$A$135,1,0)</f>
        <v>0</v>
      </c>
      <c r="U163" s="124" t="str">
        <f ca="1">Sprache!$A$62</f>
        <v>T-105 Коленчатый подъемник</v>
      </c>
      <c r="V163" s="202" t="str">
        <f ca="1">Sprache!$A$74</f>
        <v>var</v>
      </c>
      <c r="W163" s="202" t="str">
        <f ca="1">Sprache!$A$74</f>
        <v>var</v>
      </c>
      <c r="X163" s="203" t="str">
        <f ca="1">Sprache!$A$70</f>
        <v>соединение с древесиной</v>
      </c>
      <c r="Y163" s="187" t="str">
        <f ca="1">Sprache!$A$136</f>
        <v>nein</v>
      </c>
      <c r="Z163" s="187" t="str">
        <f ca="1">Sprache!$A$79</f>
        <v>Створка</v>
      </c>
      <c r="AA163" s="187">
        <v>250</v>
      </c>
      <c r="AB163" s="124">
        <v>299</v>
      </c>
      <c r="AC163" s="187"/>
      <c r="AD163" s="195">
        <v>6</v>
      </c>
      <c r="AE163" s="196">
        <v>11.1</v>
      </c>
      <c r="AF163" s="263" t="str">
        <f>MID(Tabelle2[[#This Row],[bnr full]],1,4)</f>
        <v>F151</v>
      </c>
      <c r="AG163" s="264" t="str">
        <f>MID(Tabelle2[[#This Row],[bnr full]],5,3)</f>
        <v>145</v>
      </c>
      <c r="AH163" s="265" t="str">
        <f>MID(Tabelle2[[#This Row],[bnr full]],8,3)</f>
        <v>218</v>
      </c>
      <c r="AI163" s="264" t="str">
        <f>MID(Tabelle2[[#This Row],[bnr full]],11,3)</f>
        <v>201</v>
      </c>
      <c r="AJ163" s="252" t="str">
        <f>MID(Tabelle2[[#This Row],[bnr full]],11,3)</f>
        <v>201</v>
      </c>
      <c r="AK163" s="197" t="s">
        <v>786</v>
      </c>
      <c r="AL163" s="124" t="str">
        <f ca="1">Sprache!$A$112</f>
        <v>Правый</v>
      </c>
      <c r="AM163" s="187" t="str">
        <f ca="1">Sprache!$A$134</f>
        <v>2 коленчатых подъемника</v>
      </c>
      <c r="AN163" s="187" t="str">
        <f ca="1">Sprache!$A$126</f>
        <v>Пружина, черная</v>
      </c>
      <c r="AO163" s="187" t="str">
        <f ca="1">Sprache!$A$148</f>
        <v>Коленчатый подъемник Kinvaro T-105, правый</v>
      </c>
      <c r="AP163" s="187" t="s">
        <v>817</v>
      </c>
      <c r="AQ163" s="187">
        <f>Limits!$K$9</f>
        <v>200</v>
      </c>
      <c r="AR163" s="124">
        <v>1200</v>
      </c>
      <c r="AS163" s="187" t="str">
        <f ca="1">CONCATENATE("TIOMOS 110° ",Sprache!$A$98)</f>
        <v>TIOMOS 110° Шарнир</v>
      </c>
      <c r="AT163" s="187" t="str">
        <f ca="1">CONCATENATE("1D° ",Sprache!$A$149)</f>
        <v>1D° Монтажная плита</v>
      </c>
    </row>
    <row r="164" spans="1:55" hidden="1" x14ac:dyDescent="0.25">
      <c r="A164" s="12" t="str">
        <f ca="1">IF(F164+G164+H164+I164+J164+D164+E164=3,IF(Tabelle2[[#This Row],[Kappe Weiß]]=Limits!$R$29,1,""),"")</f>
        <v/>
      </c>
      <c r="B164" s="12" t="str">
        <f ca="1">IF(G164+H164+I164+J164+E164+F164=2,IF(Tabelle2[[#This Row],[Kappe Weiß]]=Limits!$R$29,1,""),"")</f>
        <v/>
      </c>
      <c r="C164" s="291">
        <v>1</v>
      </c>
      <c r="D164" s="171">
        <f>IF(Limits!$P$12=TRUE,1,0)</f>
        <v>0</v>
      </c>
      <c r="E164" s="172">
        <f>IF(Daten!$P164+Daten!$Q164+Daten!$S164=3,1,0)</f>
        <v>0</v>
      </c>
      <c r="F164" s="173">
        <f ca="1">IF(AND(Limits!$Q$21=TRUE,Daten!O164=1)=TRUE,1,0)</f>
        <v>0</v>
      </c>
      <c r="G164" s="174">
        <f>IF(AND(Limits!$Q$25=TRUE,Daten!N164=1)=TRUE,1,0)</f>
        <v>0</v>
      </c>
      <c r="H164" s="174">
        <f>IF(AND(Limits!$Q$24=TRUE,Daten!M164=1)=TRUE,1,0)</f>
        <v>0</v>
      </c>
      <c r="I164" s="174">
        <f>IF(AND(Limits!$Q$23=TRUE,Daten!L164=1)=TRUE,1,0)</f>
        <v>0</v>
      </c>
      <c r="J164" s="174">
        <f>IF(AND(Limits!$Q$22=TRUE,Daten!K164=1)=TRUE,1,0)</f>
        <v>0</v>
      </c>
      <c r="K164" s="188">
        <f>IF(Daten!$V164=13,1,0)</f>
        <v>0</v>
      </c>
      <c r="L164" s="189">
        <f>IF(Daten!$V164&lt;&gt;Daten!$W164,1,IF(Daten!$V164=14,1,0))</f>
        <v>1</v>
      </c>
      <c r="M164" s="189">
        <f>IF(Daten!$V164&lt;&gt;Daten!$W164,1,IF(Daten!$V164=16,1,0))</f>
        <v>0</v>
      </c>
      <c r="N164" s="189">
        <f>IF(Daten!$W164=17,1,0)</f>
        <v>0</v>
      </c>
      <c r="O164" s="190">
        <f ca="1">IF(Daten!$X164=Sprache!$A$70,1,0)</f>
        <v>0</v>
      </c>
      <c r="P164" s="191">
        <f>IF(AND(Daten!$AQ164&lt;=KINVARO!$AW$3,Daten!$AR164&gt;=KINVARO!$AW$3)=TRUE,1,0)</f>
        <v>1</v>
      </c>
      <c r="Q164" s="192">
        <f>IF(AND(Daten!$AA164&lt;=KINVARO!$AW$4,Daten!$AB164&gt;=KINVARO!$AW$4)=TRUE,1,0)</f>
        <v>0</v>
      </c>
      <c r="R164" s="192"/>
      <c r="S164" s="192">
        <f>IF(AND(Daten!$AD164&lt;=Limits!$I$70,Daten!$AE164&gt;=Limits!$I$70)=TRUE,1,0)</f>
        <v>0</v>
      </c>
      <c r="T164" s="193">
        <f ca="1">IF(Daten!$Y164=Sprache!$A$135,1,0)</f>
        <v>0</v>
      </c>
      <c r="U164" s="124" t="str">
        <f ca="1">Sprache!$A$62</f>
        <v>T-105 Коленчатый подъемник</v>
      </c>
      <c r="V164" s="194">
        <v>14</v>
      </c>
      <c r="W164" s="193">
        <v>14</v>
      </c>
      <c r="X164" s="187" t="str">
        <f ca="1">Sprache!$A$141</f>
        <v>Alu</v>
      </c>
      <c r="Y164" s="187" t="str">
        <f ca="1">Sprache!$A$136</f>
        <v>nein</v>
      </c>
      <c r="Z164" s="187" t="str">
        <f ca="1">Sprache!$A$79</f>
        <v>Створка</v>
      </c>
      <c r="AA164" s="187">
        <v>250</v>
      </c>
      <c r="AB164" s="124">
        <v>299</v>
      </c>
      <c r="AC164" s="187"/>
      <c r="AD164" s="195">
        <v>3.4</v>
      </c>
      <c r="AE164" s="196">
        <v>8.9</v>
      </c>
      <c r="AF164" s="263" t="str">
        <f>MID(Tabelle2[[#This Row],[bnr full]],1,4)</f>
        <v>F151</v>
      </c>
      <c r="AG164" s="264" t="str">
        <f>MID(Tabelle2[[#This Row],[bnr full]],5,3)</f>
        <v>145</v>
      </c>
      <c r="AH164" s="265" t="str">
        <f>MID(Tabelle2[[#This Row],[bnr full]],8,3)</f>
        <v>214</v>
      </c>
      <c r="AI164" s="264" t="str">
        <f>MID(Tabelle2[[#This Row],[bnr full]],11,3)</f>
        <v>201</v>
      </c>
      <c r="AJ164" s="252" t="str">
        <f>MID(Tabelle2[[#This Row],[bnr full]],11,3)</f>
        <v>201</v>
      </c>
      <c r="AK164" s="197" t="s">
        <v>787</v>
      </c>
      <c r="AL164" s="132" t="str">
        <f ca="1">Sprache!$A$112</f>
        <v>Правый</v>
      </c>
      <c r="AM164" s="187" t="str">
        <f ca="1">Sprache!$A$134</f>
        <v>2 коленчатых подъемника</v>
      </c>
      <c r="AN164" s="187" t="str">
        <f ca="1">Sprache!$A$125</f>
        <v>Пружина, стандарт</v>
      </c>
      <c r="AO164" s="187" t="str">
        <f ca="1">Sprache!$A$148</f>
        <v>Коленчатый подъемник Kinvaro T-105, правый</v>
      </c>
      <c r="AP164" s="187" t="s">
        <v>818</v>
      </c>
      <c r="AQ164" s="187">
        <f>Limits!$K$9</f>
        <v>200</v>
      </c>
      <c r="AR164" s="124">
        <v>1200</v>
      </c>
      <c r="AS164" s="187" t="str">
        <f ca="1">CONCATENATE("TIOMOS 110° ",Sprache!$A$150)</f>
        <v>TIOMOS 110° Шарнир для алюминиевой рамки</v>
      </c>
      <c r="AT164" s="187" t="str">
        <f ca="1">CONCATENATE("1D° ",Sprache!$A$149)</f>
        <v>1D° Монтажная плита</v>
      </c>
      <c r="AU164"/>
      <c r="AV164"/>
      <c r="AY164"/>
      <c r="AZ164"/>
      <c r="BA164"/>
      <c r="BB164"/>
      <c r="BC164"/>
    </row>
    <row r="165" spans="1:55" hidden="1" x14ac:dyDescent="0.25">
      <c r="A165" s="239" t="str">
        <f ca="1">IF(F165+G165+H165+I165+J165+D165+E165=3,IF(Tabelle2[[#This Row],[Kappe Weiß]]=Limits!$R$29,1,""),"")</f>
        <v/>
      </c>
      <c r="B165" s="239" t="str">
        <f ca="1">IF(G165+H165+I165+J165+E165+F165=2,IF(Tabelle2[[#This Row],[Kappe Weiß]]=Limits!$R$29,1,""),"")</f>
        <v/>
      </c>
      <c r="C165" s="294">
        <v>1</v>
      </c>
      <c r="D165" s="207">
        <f>IF(Limits!$P$12=TRUE,1,0)</f>
        <v>0</v>
      </c>
      <c r="E165" s="240">
        <f>IF(Daten!$P165+Daten!$Q165+Daten!$S165=3,1,0)</f>
        <v>0</v>
      </c>
      <c r="F165" s="241">
        <f ca="1">IF(AND(Limits!$Q$21=TRUE,Daten!O165=1)=TRUE,1,0)</f>
        <v>0</v>
      </c>
      <c r="G165" s="242">
        <f>IF(AND(Limits!$Q$25=TRUE,Daten!N165=1)=TRUE,1,0)</f>
        <v>0</v>
      </c>
      <c r="H165" s="242">
        <f>IF(AND(Limits!$Q$24=TRUE,Daten!M165=1)=TRUE,1,0)</f>
        <v>0</v>
      </c>
      <c r="I165" s="242">
        <f>IF(AND(Limits!$Q$23=TRUE,Daten!L165=1)=TRUE,1,0)</f>
        <v>0</v>
      </c>
      <c r="J165" s="242">
        <f>IF(AND(Limits!$Q$22=TRUE,Daten!K165=1)=TRUE,1,0)</f>
        <v>0</v>
      </c>
      <c r="K165" s="243">
        <f>IF(Daten!$V165=13,1,0)</f>
        <v>0</v>
      </c>
      <c r="L165" s="244">
        <f>IF(Daten!$V165&lt;&gt;Daten!$W165,1,IF(Daten!$V165=14,1,0))</f>
        <v>0</v>
      </c>
      <c r="M165" s="244">
        <f>IF(Daten!$V165&lt;&gt;Daten!$W165,1,IF(Daten!$V165=16,1,0))</f>
        <v>1</v>
      </c>
      <c r="N165" s="244">
        <f>IF(Daten!$W165=17,1,0)</f>
        <v>0</v>
      </c>
      <c r="O165" s="245">
        <f ca="1">IF(Daten!$X165=Sprache!$A$70,1,0)</f>
        <v>0</v>
      </c>
      <c r="P165" s="217">
        <f>IF(AND(Daten!$AQ165&lt;=KINVARO!$AW$3,Daten!$AR165&gt;=KINVARO!$AW$3)=TRUE,1,0)</f>
        <v>1</v>
      </c>
      <c r="Q165" s="218">
        <f>IF(AND(Daten!$AA165&lt;=KINVARO!$AW$4,Daten!$AB165&gt;=KINVARO!$AW$4)=TRUE,1,0)</f>
        <v>0</v>
      </c>
      <c r="R165" s="218"/>
      <c r="S165" s="218">
        <f>IF(AND(Daten!$AD165&lt;=Limits!$I$70,Daten!$AE165&gt;=Limits!$I$70)=TRUE,1,0)</f>
        <v>0</v>
      </c>
      <c r="T165" s="219">
        <f ca="1">IF(Daten!$Y165=Sprache!$A$135,1,0)</f>
        <v>0</v>
      </c>
      <c r="U165" s="132" t="str">
        <f ca="1">Sprache!$A$62</f>
        <v>T-105 Коленчатый подъемник</v>
      </c>
      <c r="V165" s="221">
        <v>16</v>
      </c>
      <c r="W165" s="219">
        <v>16</v>
      </c>
      <c r="X165" s="220" t="str">
        <f ca="1">Sprache!$A$141</f>
        <v>Alu</v>
      </c>
      <c r="Y165" s="220" t="str">
        <f ca="1">Sprache!$A$136</f>
        <v>nein</v>
      </c>
      <c r="Z165" s="220" t="str">
        <f ca="1">Sprache!$A$79</f>
        <v>Створка</v>
      </c>
      <c r="AA165" s="220">
        <v>250</v>
      </c>
      <c r="AB165" s="132">
        <v>299</v>
      </c>
      <c r="AC165" s="220"/>
      <c r="AD165" s="222">
        <v>3.4</v>
      </c>
      <c r="AE165" s="223">
        <v>8.9</v>
      </c>
      <c r="AF165" s="272" t="str">
        <f>MID(Tabelle2[[#This Row],[bnr full]],1,4)</f>
        <v>F151</v>
      </c>
      <c r="AG165" s="273" t="str">
        <f>MID(Tabelle2[[#This Row],[bnr full]],5,3)</f>
        <v>145</v>
      </c>
      <c r="AH165" s="274" t="str">
        <f>MID(Tabelle2[[#This Row],[bnr full]],8,3)</f>
        <v>216</v>
      </c>
      <c r="AI165" s="273" t="str">
        <f>MID(Tabelle2[[#This Row],[bnr full]],11,3)</f>
        <v>201</v>
      </c>
      <c r="AJ165" s="255" t="str">
        <f>MID(Tabelle2[[#This Row],[bnr full]],11,3)</f>
        <v>201</v>
      </c>
      <c r="AK165" s="224" t="s">
        <v>788</v>
      </c>
      <c r="AL165" s="132" t="str">
        <f ca="1">Sprache!$A$112</f>
        <v>Правый</v>
      </c>
      <c r="AM165" s="220" t="str">
        <f ca="1">Sprache!$A$134</f>
        <v>2 коленчатых подъемника</v>
      </c>
      <c r="AN165" s="220" t="str">
        <f ca="1">Sprache!$A$125</f>
        <v>Пружина, стандарт</v>
      </c>
      <c r="AO165" s="220" t="str">
        <f ca="1">Sprache!$A$148</f>
        <v>Коленчатый подъемник Kinvaro T-105, правый</v>
      </c>
      <c r="AP165" s="220" t="s">
        <v>819</v>
      </c>
      <c r="AQ165" s="220">
        <f>Limits!$K$9</f>
        <v>200</v>
      </c>
      <c r="AR165" s="132">
        <v>1200</v>
      </c>
      <c r="AS165" s="220" t="str">
        <f ca="1">CONCATENATE("TIOMOS 110° ",Sprache!$A$150)</f>
        <v>TIOMOS 110° Шарнир для алюминиевой рамки</v>
      </c>
      <c r="AT165" s="220" t="str">
        <f ca="1">CONCATENATE("1D° ",Sprache!$A$149)</f>
        <v>1D° Монтажная плита</v>
      </c>
      <c r="AU165"/>
      <c r="AV165"/>
      <c r="AY165"/>
      <c r="AZ165"/>
      <c r="BA165"/>
      <c r="BB165"/>
      <c r="BC165"/>
    </row>
    <row r="166" spans="1:55" ht="15.75" hidden="1" thickTop="1" x14ac:dyDescent="0.25">
      <c r="A166" s="12" t="str">
        <f ca="1">IF(F166+G166+H166+I166+J166+D166+E166=3,IF(Tabelle2[[#This Row],[Kappe Weiß]]=Limits!$R$29,1,""),"")</f>
        <v/>
      </c>
      <c r="B166" s="12" t="str">
        <f ca="1">IF(G166+H166+I166+J166+E166+F166=2,IF(Tabelle2[[#This Row],[Kappe Weiß]]=Limits!$R$29,1,""),"")</f>
        <v/>
      </c>
      <c r="C166" s="293">
        <v>1</v>
      </c>
      <c r="D166" s="171">
        <f>IF(Limits!$P$12=TRUE,1,0)</f>
        <v>0</v>
      </c>
      <c r="E166" s="172">
        <f>IF(Daten!$P166+Daten!$Q166+Daten!$S166=3,1,0)</f>
        <v>0</v>
      </c>
      <c r="F166" s="173">
        <f ca="1">IF(AND(Limits!$Q$21=TRUE,Daten!O166=1)=TRUE,1,0)</f>
        <v>1</v>
      </c>
      <c r="G166" s="174">
        <f ca="1">IF(AND(Limits!$Q$25=TRUE,Daten!N166=1)=TRUE,1,0)</f>
        <v>0</v>
      </c>
      <c r="H166" s="174">
        <f ca="1">IF(AND(Limits!$Q$24=TRUE,Daten!M166=1)=TRUE,1,0)</f>
        <v>0</v>
      </c>
      <c r="I166" s="174">
        <f ca="1">IF(AND(Limits!$Q$23=TRUE,Daten!L166=1)=TRUE,1,0)</f>
        <v>0</v>
      </c>
      <c r="J166" s="174">
        <f ca="1">IF(AND(Limits!$Q$22=TRUE,Daten!K166=1)=TRUE,1,0)</f>
        <v>0</v>
      </c>
      <c r="K166" s="188">
        <f ca="1">IF(Daten!$V166=13,1,0)</f>
        <v>0</v>
      </c>
      <c r="L166" s="189">
        <f ca="1">IF(Daten!$V166&lt;&gt;Daten!$W166,1,IF(Daten!$V166=14,1,0))</f>
        <v>0</v>
      </c>
      <c r="M166" s="189">
        <f ca="1">IF(Daten!$V166&lt;&gt;Daten!$W166,1,IF(Daten!$V166=16,1,0))</f>
        <v>0</v>
      </c>
      <c r="N166" s="189">
        <f ca="1">IF(Daten!$W166=17,1,0)</f>
        <v>0</v>
      </c>
      <c r="O166" s="190">
        <f ca="1">IF(Daten!$X166=Sprache!$A$70,1,0)</f>
        <v>1</v>
      </c>
      <c r="P166" s="208">
        <f>IF(AND(Daten!$AQ166&lt;=KINVARO!$AW$3,Daten!$AR166&gt;=KINVARO!$AW$3)=TRUE,1,0)</f>
        <v>1</v>
      </c>
      <c r="Q166" s="209">
        <f>IF(AND(Daten!$AA166&lt;=KINVARO!$AW$4,Daten!$AB166&gt;=KINVARO!$AW$4)=TRUE,1,0)</f>
        <v>0</v>
      </c>
      <c r="R166" s="209"/>
      <c r="S166" s="209">
        <f>IF(AND(Daten!$AD166&lt;=Limits!$I$70,Daten!$AE166&gt;=Limits!$I$70)=TRUE,1,0)</f>
        <v>0</v>
      </c>
      <c r="T166" s="210">
        <f ca="1">IF(Daten!$Y166=Sprache!$A$135,1,0)</f>
        <v>0</v>
      </c>
      <c r="U166" s="211" t="str">
        <f ca="1">Sprache!$A$62</f>
        <v>T-105 Коленчатый подъемник</v>
      </c>
      <c r="V166" s="212" t="str">
        <f ca="1">Sprache!$A$74</f>
        <v>var</v>
      </c>
      <c r="W166" s="210" t="str">
        <f ca="1">Sprache!$A$74</f>
        <v>var</v>
      </c>
      <c r="X166" s="213" t="str">
        <f ca="1">Sprache!$A$70</f>
        <v>соединение с древесиной</v>
      </c>
      <c r="Y166" s="187" t="str">
        <f ca="1">Sprache!$A$136</f>
        <v>nein</v>
      </c>
      <c r="Z166" s="213" t="str">
        <f ca="1">Sprache!$A$79</f>
        <v>Створка</v>
      </c>
      <c r="AA166" s="213">
        <v>300</v>
      </c>
      <c r="AB166" s="211">
        <v>349</v>
      </c>
      <c r="AC166" s="213"/>
      <c r="AD166" s="214">
        <v>1.6</v>
      </c>
      <c r="AE166" s="215">
        <v>4.3</v>
      </c>
      <c r="AF166" s="269" t="str">
        <f>MID(Tabelle2[[#This Row],[bnr full]],1,4)</f>
        <v>F151</v>
      </c>
      <c r="AG166" s="270" t="str">
        <f>MID(Tabelle2[[#This Row],[bnr full]],5,3)</f>
        <v>145</v>
      </c>
      <c r="AH166" s="271" t="str">
        <f>MID(Tabelle2[[#This Row],[bnr full]],8,3)</f>
        <v>220</v>
      </c>
      <c r="AI166" s="270" t="str">
        <f>MID(Tabelle2[[#This Row],[bnr full]],11,3)</f>
        <v>201</v>
      </c>
      <c r="AJ166" s="254" t="str">
        <f>MID(Tabelle2[[#This Row],[bnr full]],11,3)</f>
        <v>201</v>
      </c>
      <c r="AK166" s="216" t="s">
        <v>785</v>
      </c>
      <c r="AL166" s="211" t="str">
        <f ca="1">Sprache!$A$112</f>
        <v>Правый</v>
      </c>
      <c r="AM166" s="213" t="str">
        <f ca="1">Sprache!$A$133</f>
        <v>1 коленчатый подъемник</v>
      </c>
      <c r="AN166" s="213" t="str">
        <f ca="1">Sprache!$A$125</f>
        <v>Пружина, стандарт</v>
      </c>
      <c r="AO166" s="213" t="str">
        <f ca="1">Sprache!$A$148</f>
        <v>Коленчатый подъемник Kinvaro T-105, правый</v>
      </c>
      <c r="AP166" s="213" t="s">
        <v>816</v>
      </c>
      <c r="AQ166" s="213">
        <f>Limits!$K$9</f>
        <v>200</v>
      </c>
      <c r="AR166" s="211">
        <v>1200</v>
      </c>
      <c r="AS166" s="187" t="str">
        <f ca="1">CONCATENATE("TIOMOS 110° ",Sprache!$A$98)</f>
        <v>TIOMOS 110° Шарнир</v>
      </c>
      <c r="AT166" s="187" t="str">
        <f ca="1">CONCATENATE("1D° ",Sprache!$A$149)</f>
        <v>1D° Монтажная плита</v>
      </c>
      <c r="AU166"/>
      <c r="AV166"/>
      <c r="AY166"/>
      <c r="AZ166"/>
      <c r="BA166"/>
      <c r="BB166"/>
      <c r="BC166"/>
    </row>
    <row r="167" spans="1:55" s="5" customFormat="1" hidden="1" x14ac:dyDescent="0.25">
      <c r="A167" s="12" t="str">
        <f ca="1">IF(F167+G167+H167+I167+J167+D167+E167=3,IF(Tabelle2[[#This Row],[Kappe Weiß]]=Limits!$R$29,1,""),"")</f>
        <v/>
      </c>
      <c r="B167" s="12" t="str">
        <f ca="1">IF(G167+H167+I167+J167+E167+F167=2,IF(Tabelle2[[#This Row],[Kappe Weiß]]=Limits!$R$29,1,""),"")</f>
        <v/>
      </c>
      <c r="C167" s="291">
        <v>1</v>
      </c>
      <c r="D167" s="171">
        <f>IF(Limits!$P$12=TRUE,1,0)</f>
        <v>0</v>
      </c>
      <c r="E167" s="172">
        <f>IF(Daten!$P167+Daten!$Q167+Daten!$S167=3,1,0)</f>
        <v>0</v>
      </c>
      <c r="F167" s="173">
        <f ca="1">IF(AND(Limits!$Q$21=TRUE,Daten!O167=1)=TRUE,1,0)</f>
        <v>1</v>
      </c>
      <c r="G167" s="174">
        <f ca="1">IF(AND(Limits!$Q$25=TRUE,Daten!N167=1)=TRUE,1,0)</f>
        <v>0</v>
      </c>
      <c r="H167" s="174">
        <f ca="1">IF(AND(Limits!$Q$24=TRUE,Daten!M167=1)=TRUE,1,0)</f>
        <v>0</v>
      </c>
      <c r="I167" s="174">
        <f ca="1">IF(AND(Limits!$Q$23=TRUE,Daten!L167=1)=TRUE,1,0)</f>
        <v>0</v>
      </c>
      <c r="J167" s="174">
        <f ca="1">IF(AND(Limits!$Q$22=TRUE,Daten!K167=1)=TRUE,1,0)</f>
        <v>0</v>
      </c>
      <c r="K167" s="188">
        <f ca="1">IF(Daten!$V167=13,1,0)</f>
        <v>0</v>
      </c>
      <c r="L167" s="189">
        <f ca="1">IF(Daten!$V167&lt;&gt;Daten!$W167,1,IF(Daten!$V167=14,1,0))</f>
        <v>0</v>
      </c>
      <c r="M167" s="189">
        <f ca="1">IF(Daten!$V167&lt;&gt;Daten!$W167,1,IF(Daten!$V167=16,1,0))</f>
        <v>0</v>
      </c>
      <c r="N167" s="189">
        <f ca="1">IF(Daten!$W167=17,1,0)</f>
        <v>0</v>
      </c>
      <c r="O167" s="190">
        <f ca="1">IF(Daten!$X167=Sprache!$A$70,1,0)</f>
        <v>1</v>
      </c>
      <c r="P167" s="191">
        <f>IF(AND(Daten!$AQ167&lt;=KINVARO!$AW$3,Daten!$AR167&gt;=KINVARO!$AW$3)=TRUE,1,0)</f>
        <v>1</v>
      </c>
      <c r="Q167" s="192">
        <f>IF(AND(Daten!$AA167&lt;=KINVARO!$AW$4,Daten!$AB167&gt;=KINVARO!$AW$4)=TRUE,1,0)</f>
        <v>0</v>
      </c>
      <c r="R167" s="192"/>
      <c r="S167" s="192">
        <f>IF(AND(Daten!$AD167&lt;=Limits!$I$70,Daten!$AE167&gt;=Limits!$I$70)=TRUE,1,0)</f>
        <v>0</v>
      </c>
      <c r="T167" s="193">
        <f ca="1">IF(Daten!$Y167=Sprache!$A$135,1,0)</f>
        <v>0</v>
      </c>
      <c r="U167" s="124" t="str">
        <f ca="1">Sprache!$A$62</f>
        <v>T-105 Коленчатый подъемник</v>
      </c>
      <c r="V167" s="194" t="str">
        <f ca="1">Sprache!$A$74</f>
        <v>var</v>
      </c>
      <c r="W167" s="193" t="str">
        <f ca="1">Sprache!$A$74</f>
        <v>var</v>
      </c>
      <c r="X167" s="187" t="str">
        <f ca="1">Sprache!$A$70</f>
        <v>соединение с древесиной</v>
      </c>
      <c r="Y167" s="187" t="str">
        <f ca="1">Sprache!$A$136</f>
        <v>nein</v>
      </c>
      <c r="Z167" s="187" t="str">
        <f ca="1">Sprache!$A$79</f>
        <v>Створка</v>
      </c>
      <c r="AA167" s="187">
        <v>300</v>
      </c>
      <c r="AB167" s="124">
        <v>349</v>
      </c>
      <c r="AC167" s="187"/>
      <c r="AD167" s="195">
        <v>2.8</v>
      </c>
      <c r="AE167" s="196">
        <v>5.2</v>
      </c>
      <c r="AF167" s="263" t="str">
        <f>MID(Tabelle2[[#This Row],[bnr full]],1,4)</f>
        <v>F151</v>
      </c>
      <c r="AG167" s="264" t="str">
        <f>MID(Tabelle2[[#This Row],[bnr full]],5,3)</f>
        <v>145</v>
      </c>
      <c r="AH167" s="265" t="str">
        <f>MID(Tabelle2[[#This Row],[bnr full]],8,3)</f>
        <v>218</v>
      </c>
      <c r="AI167" s="264" t="str">
        <f>MID(Tabelle2[[#This Row],[bnr full]],11,3)</f>
        <v>201</v>
      </c>
      <c r="AJ167" s="252" t="str">
        <f>MID(Tabelle2[[#This Row],[bnr full]],11,3)</f>
        <v>201</v>
      </c>
      <c r="AK167" s="197" t="s">
        <v>786</v>
      </c>
      <c r="AL167" s="124" t="str">
        <f ca="1">Sprache!$A$112</f>
        <v>Правый</v>
      </c>
      <c r="AM167" s="187" t="str">
        <f ca="1">Sprache!$A$133</f>
        <v>1 коленчатый подъемник</v>
      </c>
      <c r="AN167" s="187" t="str">
        <f ca="1">Sprache!$A$126</f>
        <v>Пружина, черная</v>
      </c>
      <c r="AO167" s="187" t="str">
        <f ca="1">Sprache!$A$148</f>
        <v>Коленчатый подъемник Kinvaro T-105, правый</v>
      </c>
      <c r="AP167" s="187" t="s">
        <v>817</v>
      </c>
      <c r="AQ167" s="187">
        <f>Limits!$K$9</f>
        <v>200</v>
      </c>
      <c r="AR167" s="124">
        <v>1200</v>
      </c>
      <c r="AS167" s="187" t="str">
        <f ca="1">CONCATENATE("TIOMOS 110° ",Sprache!$A$98)</f>
        <v>TIOMOS 110° Шарнир</v>
      </c>
      <c r="AT167" s="187" t="str">
        <f ca="1">CONCATENATE("1D° ",Sprache!$A$149)</f>
        <v>1D° Монтажная плита</v>
      </c>
    </row>
    <row r="168" spans="1:55" hidden="1" x14ac:dyDescent="0.25">
      <c r="A168" s="12" t="str">
        <f ca="1">IF(F168+G168+H168+I168+J168+D168+E168=3,IF(Tabelle2[[#This Row],[Kappe Weiß]]=Limits!$R$29,1,""),"")</f>
        <v/>
      </c>
      <c r="B168" s="12" t="str">
        <f ca="1">IF(G168+H168+I168+J168+E168+F168=2,IF(Tabelle2[[#This Row],[Kappe Weiß]]=Limits!$R$29,1,""),"")</f>
        <v/>
      </c>
      <c r="C168" s="291">
        <v>1</v>
      </c>
      <c r="D168" s="171">
        <f>IF(Limits!$P$12=TRUE,1,0)</f>
        <v>0</v>
      </c>
      <c r="E168" s="172">
        <f>IF(Daten!$P168+Daten!$Q168+Daten!$S168=3,1,0)</f>
        <v>0</v>
      </c>
      <c r="F168" s="173">
        <f ca="1">IF(AND(Limits!$Q$21=TRUE,Daten!O168=1)=TRUE,1,0)</f>
        <v>0</v>
      </c>
      <c r="G168" s="174">
        <f>IF(AND(Limits!$Q$25=TRUE,Daten!N168=1)=TRUE,1,0)</f>
        <v>0</v>
      </c>
      <c r="H168" s="174">
        <f>IF(AND(Limits!$Q$24=TRUE,Daten!M168=1)=TRUE,1,0)</f>
        <v>0</v>
      </c>
      <c r="I168" s="174">
        <f>IF(AND(Limits!$Q$23=TRUE,Daten!L168=1)=TRUE,1,0)</f>
        <v>0</v>
      </c>
      <c r="J168" s="174">
        <f>IF(AND(Limits!$Q$22=TRUE,Daten!K168=1)=TRUE,1,0)</f>
        <v>0</v>
      </c>
      <c r="K168" s="188">
        <f>IF(Daten!$V168=13,1,0)</f>
        <v>0</v>
      </c>
      <c r="L168" s="189">
        <f>IF(Daten!$V168&lt;&gt;Daten!$W168,1,IF(Daten!$V168=14,1,0))</f>
        <v>1</v>
      </c>
      <c r="M168" s="189">
        <f>IF(Daten!$V168&lt;&gt;Daten!$W168,1,IF(Daten!$V168=16,1,0))</f>
        <v>0</v>
      </c>
      <c r="N168" s="189">
        <f>IF(Daten!$W168=17,1,0)</f>
        <v>0</v>
      </c>
      <c r="O168" s="190">
        <f ca="1">IF(Daten!$X168=Sprache!$A$70,1,0)</f>
        <v>0</v>
      </c>
      <c r="P168" s="191">
        <f>IF(AND(Daten!$AQ168&lt;=KINVARO!$AW$3,Daten!$AR168&gt;=KINVARO!$AW$3)=TRUE,1,0)</f>
        <v>1</v>
      </c>
      <c r="Q168" s="192">
        <f>IF(AND(Daten!$AA168&lt;=KINVARO!$AW$4,Daten!$AB168&gt;=KINVARO!$AW$4)=TRUE,1,0)</f>
        <v>0</v>
      </c>
      <c r="R168" s="192"/>
      <c r="S168" s="192">
        <f>IF(AND(Daten!$AD168&lt;=Limits!$I$70,Daten!$AE168&gt;=Limits!$I$70)=TRUE,1,0)</f>
        <v>0</v>
      </c>
      <c r="T168" s="193">
        <f ca="1">IF(Daten!$Y168=Sprache!$A$135,1,0)</f>
        <v>0</v>
      </c>
      <c r="U168" s="124" t="str">
        <f ca="1">Sprache!$A$62</f>
        <v>T-105 Коленчатый подъемник</v>
      </c>
      <c r="V168" s="194">
        <v>14</v>
      </c>
      <c r="W168" s="193">
        <v>14</v>
      </c>
      <c r="X168" s="187" t="str">
        <f ca="1">Sprache!$A$141</f>
        <v>Alu</v>
      </c>
      <c r="Y168" s="187" t="str">
        <f ca="1">Sprache!$A$136</f>
        <v>nein</v>
      </c>
      <c r="Z168" s="187" t="str">
        <f ca="1">Sprache!$A$79</f>
        <v>Створка</v>
      </c>
      <c r="AA168" s="187">
        <v>300</v>
      </c>
      <c r="AB168" s="124">
        <v>349</v>
      </c>
      <c r="AC168" s="187"/>
      <c r="AD168" s="195">
        <v>1.6</v>
      </c>
      <c r="AE168" s="196">
        <v>4.3</v>
      </c>
      <c r="AF168" s="263" t="str">
        <f>MID(Tabelle2[[#This Row],[bnr full]],1,4)</f>
        <v>F151</v>
      </c>
      <c r="AG168" s="264" t="str">
        <f>MID(Tabelle2[[#This Row],[bnr full]],5,3)</f>
        <v>145</v>
      </c>
      <c r="AH168" s="265" t="str">
        <f>MID(Tabelle2[[#This Row],[bnr full]],8,3)</f>
        <v>214</v>
      </c>
      <c r="AI168" s="264" t="str">
        <f>MID(Tabelle2[[#This Row],[bnr full]],11,3)</f>
        <v>201</v>
      </c>
      <c r="AJ168" s="252" t="str">
        <f>MID(Tabelle2[[#This Row],[bnr full]],11,3)</f>
        <v>201</v>
      </c>
      <c r="AK168" s="197" t="s">
        <v>787</v>
      </c>
      <c r="AL168" s="124" t="str">
        <f ca="1">Sprache!$A$112</f>
        <v>Правый</v>
      </c>
      <c r="AM168" s="187" t="str">
        <f ca="1">Sprache!$A$133</f>
        <v>1 коленчатый подъемник</v>
      </c>
      <c r="AN168" s="187" t="str">
        <f ca="1">Sprache!$A$125</f>
        <v>Пружина, стандарт</v>
      </c>
      <c r="AO168" s="187" t="str">
        <f ca="1">Sprache!$A$148</f>
        <v>Коленчатый подъемник Kinvaro T-105, правый</v>
      </c>
      <c r="AP168" s="187" t="s">
        <v>818</v>
      </c>
      <c r="AQ168" s="187">
        <f>Limits!$K$9</f>
        <v>200</v>
      </c>
      <c r="AR168" s="124">
        <v>1200</v>
      </c>
      <c r="AS168" s="187" t="str">
        <f ca="1">CONCATENATE("TIOMOS 110° ",Sprache!$A$150)</f>
        <v>TIOMOS 110° Шарнир для алюминиевой рамки</v>
      </c>
      <c r="AT168" s="187" t="str">
        <f ca="1">CONCATENATE("1D° ",Sprache!$A$149)</f>
        <v>1D° Монтажная плита</v>
      </c>
      <c r="AU168"/>
      <c r="AV168"/>
      <c r="AY168"/>
      <c r="AZ168"/>
      <c r="BA168"/>
      <c r="BB168"/>
      <c r="BC168"/>
    </row>
    <row r="169" spans="1:55" hidden="1" x14ac:dyDescent="0.25">
      <c r="A169" s="12" t="str">
        <f ca="1">IF(F169+G169+H169+I169+J169+D169+E169=3,IF(Tabelle2[[#This Row],[Kappe Weiß]]=Limits!$R$29,1,""),"")</f>
        <v/>
      </c>
      <c r="B169" s="12" t="str">
        <f ca="1">IF(G169+H169+I169+J169+E169+F169=2,IF(Tabelle2[[#This Row],[Kappe Weiß]]=Limits!$R$29,1,""),"")</f>
        <v/>
      </c>
      <c r="C169" s="291">
        <v>1</v>
      </c>
      <c r="D169" s="171">
        <f>IF(Limits!$P$12=TRUE,1,0)</f>
        <v>0</v>
      </c>
      <c r="E169" s="172">
        <f>IF(Daten!$P169+Daten!$Q169+Daten!$S169=3,1,0)</f>
        <v>0</v>
      </c>
      <c r="F169" s="173">
        <f ca="1">IF(AND(Limits!$Q$21=TRUE,Daten!O169=1)=TRUE,1,0)</f>
        <v>0</v>
      </c>
      <c r="G169" s="174">
        <f>IF(AND(Limits!$Q$25=TRUE,Daten!N169=1)=TRUE,1,0)</f>
        <v>0</v>
      </c>
      <c r="H169" s="174">
        <f>IF(AND(Limits!$Q$24=TRUE,Daten!M169=1)=TRUE,1,0)</f>
        <v>0</v>
      </c>
      <c r="I169" s="174">
        <f>IF(AND(Limits!$Q$23=TRUE,Daten!L169=1)=TRUE,1,0)</f>
        <v>0</v>
      </c>
      <c r="J169" s="174">
        <f>IF(AND(Limits!$Q$22=TRUE,Daten!K169=1)=TRUE,1,0)</f>
        <v>0</v>
      </c>
      <c r="K169" s="188">
        <f>IF(Daten!$V169=13,1,0)</f>
        <v>0</v>
      </c>
      <c r="L169" s="189">
        <f>IF(Daten!$V169&lt;&gt;Daten!$W169,1,IF(Daten!$V169=14,1,0))</f>
        <v>0</v>
      </c>
      <c r="M169" s="189">
        <f>IF(Daten!$V169&lt;&gt;Daten!$W169,1,IF(Daten!$V169=16,1,0))</f>
        <v>1</v>
      </c>
      <c r="N169" s="189">
        <f>IF(Daten!$W169=17,1,0)</f>
        <v>0</v>
      </c>
      <c r="O169" s="190">
        <f ca="1">IF(Daten!$X169=Sprache!$A$70,1,0)</f>
        <v>0</v>
      </c>
      <c r="P169" s="191">
        <f>IF(AND(Daten!$AQ169&lt;=KINVARO!$AW$3,Daten!$AR169&gt;=KINVARO!$AW$3)=TRUE,1,0)</f>
        <v>1</v>
      </c>
      <c r="Q169" s="192">
        <f>IF(AND(Daten!$AA169&lt;=KINVARO!$AW$4,Daten!$AB169&gt;=KINVARO!$AW$4)=TRUE,1,0)</f>
        <v>0</v>
      </c>
      <c r="R169" s="192"/>
      <c r="S169" s="192">
        <f>IF(AND(Daten!$AD169&lt;=Limits!$I$70,Daten!$AE169&gt;=Limits!$I$70)=TRUE,1,0)</f>
        <v>0</v>
      </c>
      <c r="T169" s="193">
        <f ca="1">IF(Daten!$Y169=Sprache!$A$135,1,0)</f>
        <v>0</v>
      </c>
      <c r="U169" s="124" t="str">
        <f ca="1">Sprache!$A$62</f>
        <v>T-105 Коленчатый подъемник</v>
      </c>
      <c r="V169" s="194">
        <v>16</v>
      </c>
      <c r="W169" s="193">
        <v>16</v>
      </c>
      <c r="X169" s="187" t="str">
        <f ca="1">Sprache!$A$141</f>
        <v>Alu</v>
      </c>
      <c r="Y169" s="187" t="str">
        <f ca="1">Sprache!$A$136</f>
        <v>nein</v>
      </c>
      <c r="Z169" s="187" t="str">
        <f ca="1">Sprache!$A$79</f>
        <v>Створка</v>
      </c>
      <c r="AA169" s="187">
        <v>300</v>
      </c>
      <c r="AB169" s="124">
        <v>349</v>
      </c>
      <c r="AC169" s="187"/>
      <c r="AD169" s="195">
        <v>1.6</v>
      </c>
      <c r="AE169" s="196">
        <v>4.3</v>
      </c>
      <c r="AF169" s="263" t="str">
        <f>MID(Tabelle2[[#This Row],[bnr full]],1,4)</f>
        <v>F151</v>
      </c>
      <c r="AG169" s="264" t="str">
        <f>MID(Tabelle2[[#This Row],[bnr full]],5,3)</f>
        <v>145</v>
      </c>
      <c r="AH169" s="265" t="str">
        <f>MID(Tabelle2[[#This Row],[bnr full]],8,3)</f>
        <v>216</v>
      </c>
      <c r="AI169" s="264" t="str">
        <f>MID(Tabelle2[[#This Row],[bnr full]],11,3)</f>
        <v>201</v>
      </c>
      <c r="AJ169" s="252" t="str">
        <f>MID(Tabelle2[[#This Row],[bnr full]],11,3)</f>
        <v>201</v>
      </c>
      <c r="AK169" s="197" t="s">
        <v>788</v>
      </c>
      <c r="AL169" s="124" t="str">
        <f ca="1">Sprache!$A$112</f>
        <v>Правый</v>
      </c>
      <c r="AM169" s="187" t="str">
        <f ca="1">Sprache!$A$133</f>
        <v>1 коленчатый подъемник</v>
      </c>
      <c r="AN169" s="187" t="str">
        <f ca="1">Sprache!$A$125</f>
        <v>Пружина, стандарт</v>
      </c>
      <c r="AO169" s="187" t="str">
        <f ca="1">Sprache!$A$148</f>
        <v>Коленчатый подъемник Kinvaro T-105, правый</v>
      </c>
      <c r="AP169" s="187" t="s">
        <v>819</v>
      </c>
      <c r="AQ169" s="187">
        <f>Limits!$K$9</f>
        <v>200</v>
      </c>
      <c r="AR169" s="124">
        <v>1200</v>
      </c>
      <c r="AS169" s="187" t="str">
        <f ca="1">CONCATENATE("TIOMOS 110° ",Sprache!$A$150)</f>
        <v>TIOMOS 110° Шарнир для алюминиевой рамки</v>
      </c>
      <c r="AT169" s="187" t="str">
        <f ca="1">CONCATENATE("1D° ",Sprache!$A$149)</f>
        <v>1D° Монтажная плита</v>
      </c>
      <c r="AU169"/>
      <c r="AV169"/>
      <c r="AY169"/>
      <c r="AZ169"/>
      <c r="BA169"/>
      <c r="BB169"/>
      <c r="BC169"/>
    </row>
    <row r="170" spans="1:55" hidden="1" x14ac:dyDescent="0.25">
      <c r="A170" s="12" t="str">
        <f ca="1">IF(F170+G170+H170+I170+J170+D170+E170=3,IF(Tabelle2[[#This Row],[Kappe Weiß]]=Limits!$R$29,1,""),"")</f>
        <v/>
      </c>
      <c r="B170" s="12" t="str">
        <f ca="1">IF(G170+H170+I170+J170+E170+F170=2,IF(Tabelle2[[#This Row],[Kappe Weiß]]=Limits!$R$29,1,""),"")</f>
        <v/>
      </c>
      <c r="C170" s="291">
        <v>1</v>
      </c>
      <c r="D170" s="171">
        <f>IF(Limits!$P$12=TRUE,1,0)</f>
        <v>0</v>
      </c>
      <c r="E170" s="172">
        <f>IF(Daten!$P170+Daten!$Q170+Daten!$S170=3,1,0)</f>
        <v>0</v>
      </c>
      <c r="F170" s="173">
        <f ca="1">IF(AND(Limits!$Q$21=TRUE,Daten!O170=1)=TRUE,1,0)</f>
        <v>1</v>
      </c>
      <c r="G170" s="174">
        <f ca="1">IF(AND(Limits!$Q$25=TRUE,Daten!N170=1)=TRUE,1,0)</f>
        <v>0</v>
      </c>
      <c r="H170" s="174">
        <f ca="1">IF(AND(Limits!$Q$24=TRUE,Daten!M170=1)=TRUE,1,0)</f>
        <v>0</v>
      </c>
      <c r="I170" s="174">
        <f ca="1">IF(AND(Limits!$Q$23=TRUE,Daten!L170=1)=TRUE,1,0)</f>
        <v>0</v>
      </c>
      <c r="J170" s="174">
        <f ca="1">IF(AND(Limits!$Q$22=TRUE,Daten!K170=1)=TRUE,1,0)</f>
        <v>0</v>
      </c>
      <c r="K170" s="188">
        <f ca="1">IF(Daten!$V170=13,1,0)</f>
        <v>0</v>
      </c>
      <c r="L170" s="189">
        <f ca="1">IF(Daten!$V170&lt;&gt;Daten!$W170,1,IF(Daten!$V170=14,1,0))</f>
        <v>0</v>
      </c>
      <c r="M170" s="189">
        <f ca="1">IF(Daten!$V170&lt;&gt;Daten!$W170,1,IF(Daten!$V170=16,1,0))</f>
        <v>0</v>
      </c>
      <c r="N170" s="189">
        <f ca="1">IF(Daten!$W170=17,1,0)</f>
        <v>0</v>
      </c>
      <c r="O170" s="190">
        <f ca="1">IF(Daten!$X170=Sprache!$A$70,1,0)</f>
        <v>1</v>
      </c>
      <c r="P170" s="191">
        <f>IF(AND(Daten!$AQ170&lt;=KINVARO!$AW$3,Daten!$AR170&gt;=KINVARO!$AW$3)=TRUE,1,0)</f>
        <v>1</v>
      </c>
      <c r="Q170" s="192">
        <f>IF(AND(Daten!$AA170&lt;=KINVARO!$AW$4,Daten!$AB170&gt;=KINVARO!$AW$4)=TRUE,1,0)</f>
        <v>0</v>
      </c>
      <c r="R170" s="192"/>
      <c r="S170" s="192">
        <f>IF(AND(Daten!$AD170&lt;=Limits!$I$70,Daten!$AE170&gt;=Limits!$I$70)=TRUE,1,0)</f>
        <v>0</v>
      </c>
      <c r="T170" s="193">
        <f ca="1">IF(Daten!$Y170=Sprache!$A$135,1,0)</f>
        <v>0</v>
      </c>
      <c r="U170" s="124" t="str">
        <f ca="1">Sprache!$A$62</f>
        <v>T-105 Коленчатый подъемник</v>
      </c>
      <c r="V170" s="194" t="str">
        <f ca="1">Sprache!$A$74</f>
        <v>var</v>
      </c>
      <c r="W170" s="193" t="str">
        <f ca="1">Sprache!$A$74</f>
        <v>var</v>
      </c>
      <c r="X170" s="187" t="str">
        <f ca="1">Sprache!$A$70</f>
        <v>соединение с древесиной</v>
      </c>
      <c r="Y170" s="187" t="str">
        <f ca="1">Sprache!$A$136</f>
        <v>nein</v>
      </c>
      <c r="Z170" s="187" t="str">
        <f ca="1">Sprache!$A$79</f>
        <v>Створка</v>
      </c>
      <c r="AA170" s="187">
        <v>300</v>
      </c>
      <c r="AB170" s="124">
        <v>349</v>
      </c>
      <c r="AC170" s="187"/>
      <c r="AD170" s="195">
        <v>3.2</v>
      </c>
      <c r="AE170" s="196">
        <v>8.6</v>
      </c>
      <c r="AF170" s="263" t="str">
        <f>MID(Tabelle2[[#This Row],[bnr full]],1,4)</f>
        <v>F151</v>
      </c>
      <c r="AG170" s="264" t="str">
        <f>MID(Tabelle2[[#This Row],[bnr full]],5,3)</f>
        <v>145</v>
      </c>
      <c r="AH170" s="265" t="str">
        <f>MID(Tabelle2[[#This Row],[bnr full]],8,3)</f>
        <v>220</v>
      </c>
      <c r="AI170" s="264" t="str">
        <f>MID(Tabelle2[[#This Row],[bnr full]],11,3)</f>
        <v>201</v>
      </c>
      <c r="AJ170" s="252" t="str">
        <f>MID(Tabelle2[[#This Row],[bnr full]],11,3)</f>
        <v>201</v>
      </c>
      <c r="AK170" s="197" t="s">
        <v>785</v>
      </c>
      <c r="AL170" s="124" t="str">
        <f ca="1">Sprache!$A$112</f>
        <v>Правый</v>
      </c>
      <c r="AM170" s="187" t="str">
        <f ca="1">Sprache!$A$134</f>
        <v>2 коленчатых подъемника</v>
      </c>
      <c r="AN170" s="187" t="str">
        <f ca="1">Sprache!$A$125</f>
        <v>Пружина, стандарт</v>
      </c>
      <c r="AO170" s="187" t="str">
        <f ca="1">Sprache!$A$148</f>
        <v>Коленчатый подъемник Kinvaro T-105, правый</v>
      </c>
      <c r="AP170" s="187" t="s">
        <v>816</v>
      </c>
      <c r="AQ170" s="187">
        <f>Limits!$K$9</f>
        <v>200</v>
      </c>
      <c r="AR170" s="124">
        <v>1200</v>
      </c>
      <c r="AS170" s="187" t="str">
        <f ca="1">CONCATENATE("TIOMOS 110° ",Sprache!$A$98)</f>
        <v>TIOMOS 110° Шарнир</v>
      </c>
      <c r="AT170" s="187" t="str">
        <f ca="1">CONCATENATE("1D° ",Sprache!$A$149)</f>
        <v>1D° Монтажная плита</v>
      </c>
      <c r="AU170"/>
      <c r="AV170"/>
      <c r="AY170"/>
      <c r="AZ170"/>
      <c r="BA170"/>
      <c r="BB170"/>
      <c r="BC170"/>
    </row>
    <row r="171" spans="1:55" s="5" customFormat="1" hidden="1" x14ac:dyDescent="0.25">
      <c r="A171" s="12" t="str">
        <f ca="1">IF(F171+G171+H171+I171+J171+D171+E171=3,IF(Tabelle2[[#This Row],[Kappe Weiß]]=Limits!$R$29,1,""),"")</f>
        <v/>
      </c>
      <c r="B171" s="12" t="str">
        <f ca="1">IF(G171+H171+I171+J171+E171+F171=2,IF(Tabelle2[[#This Row],[Kappe Weiß]]=Limits!$R$29,1,""),"")</f>
        <v/>
      </c>
      <c r="C171" s="291">
        <v>1</v>
      </c>
      <c r="D171" s="171">
        <f>IF(Limits!$P$12=TRUE,1,0)</f>
        <v>0</v>
      </c>
      <c r="E171" s="172">
        <f>IF(Daten!$P171+Daten!$Q171+Daten!$S171=3,1,0)</f>
        <v>0</v>
      </c>
      <c r="F171" s="173">
        <f ca="1">IF(AND(Limits!$Q$21=TRUE,Daten!O171=1)=TRUE,1,0)</f>
        <v>1</v>
      </c>
      <c r="G171" s="174">
        <f ca="1">IF(AND(Limits!$Q$25=TRUE,Daten!N171=1)=TRUE,1,0)</f>
        <v>0</v>
      </c>
      <c r="H171" s="174">
        <f ca="1">IF(AND(Limits!$Q$24=TRUE,Daten!M171=1)=TRUE,1,0)</f>
        <v>0</v>
      </c>
      <c r="I171" s="174">
        <f ca="1">IF(AND(Limits!$Q$23=TRUE,Daten!L171=1)=TRUE,1,0)</f>
        <v>0</v>
      </c>
      <c r="J171" s="174">
        <f ca="1">IF(AND(Limits!$Q$22=TRUE,Daten!K171=1)=TRUE,1,0)</f>
        <v>0</v>
      </c>
      <c r="K171" s="188">
        <f ca="1">IF(Daten!$V171=13,1,0)</f>
        <v>0</v>
      </c>
      <c r="L171" s="189">
        <f ca="1">IF(Daten!$V171&lt;&gt;Daten!$W171,1,IF(Daten!$V171=14,1,0))</f>
        <v>0</v>
      </c>
      <c r="M171" s="189">
        <f ca="1">IF(Daten!$V171&lt;&gt;Daten!$W171,1,IF(Daten!$V171=16,1,0))</f>
        <v>0</v>
      </c>
      <c r="N171" s="189">
        <f ca="1">IF(Daten!$W171=17,1,0)</f>
        <v>0</v>
      </c>
      <c r="O171" s="190">
        <f ca="1">IF(Daten!$X171=Sprache!$A$70,1,0)</f>
        <v>1</v>
      </c>
      <c r="P171" s="191">
        <f>IF(AND(Daten!$AQ171&lt;=KINVARO!$AW$3,Daten!$AR171&gt;=KINVARO!$AW$3)=TRUE,1,0)</f>
        <v>1</v>
      </c>
      <c r="Q171" s="192">
        <f>IF(AND(Daten!$AA171&lt;=KINVARO!$AW$4,Daten!$AB171&gt;=KINVARO!$AW$4)=TRUE,1,0)</f>
        <v>0</v>
      </c>
      <c r="R171" s="192"/>
      <c r="S171" s="192">
        <f>IF(AND(Daten!$AD171&lt;=Limits!$I$70,Daten!$AE171&gt;=Limits!$I$70)=TRUE,1,0)</f>
        <v>1</v>
      </c>
      <c r="T171" s="193">
        <f ca="1">IF(Daten!$Y171=Sprache!$A$135,1,0)</f>
        <v>0</v>
      </c>
      <c r="U171" s="124" t="str">
        <f ca="1">Sprache!$A$62</f>
        <v>T-105 Коленчатый подъемник</v>
      </c>
      <c r="V171" s="194" t="str">
        <f ca="1">Sprache!$A$74</f>
        <v>var</v>
      </c>
      <c r="W171" s="193" t="str">
        <f ca="1">Sprache!$A$74</f>
        <v>var</v>
      </c>
      <c r="X171" s="187" t="str">
        <f ca="1">Sprache!$A$70</f>
        <v>соединение с древесиной</v>
      </c>
      <c r="Y171" s="187" t="str">
        <f ca="1">Sprache!$A$136</f>
        <v>nein</v>
      </c>
      <c r="Z171" s="187" t="str">
        <f ca="1">Sprache!$A$79</f>
        <v>Створка</v>
      </c>
      <c r="AA171" s="187">
        <v>300</v>
      </c>
      <c r="AB171" s="124">
        <v>349</v>
      </c>
      <c r="AC171" s="187"/>
      <c r="AD171" s="195">
        <v>5.5</v>
      </c>
      <c r="AE171" s="196">
        <v>10.4</v>
      </c>
      <c r="AF171" s="263" t="str">
        <f>MID(Tabelle2[[#This Row],[bnr full]],1,4)</f>
        <v>F151</v>
      </c>
      <c r="AG171" s="264" t="str">
        <f>MID(Tabelle2[[#This Row],[bnr full]],5,3)</f>
        <v>145</v>
      </c>
      <c r="AH171" s="265" t="str">
        <f>MID(Tabelle2[[#This Row],[bnr full]],8,3)</f>
        <v>218</v>
      </c>
      <c r="AI171" s="264" t="str">
        <f>MID(Tabelle2[[#This Row],[bnr full]],11,3)</f>
        <v>201</v>
      </c>
      <c r="AJ171" s="252" t="str">
        <f>MID(Tabelle2[[#This Row],[bnr full]],11,3)</f>
        <v>201</v>
      </c>
      <c r="AK171" s="197" t="s">
        <v>786</v>
      </c>
      <c r="AL171" s="124" t="str">
        <f ca="1">Sprache!$A$112</f>
        <v>Правый</v>
      </c>
      <c r="AM171" s="187" t="str">
        <f ca="1">Sprache!$A$134</f>
        <v>2 коленчатых подъемника</v>
      </c>
      <c r="AN171" s="187" t="str">
        <f ca="1">Sprache!$A$126</f>
        <v>Пружина, черная</v>
      </c>
      <c r="AO171" s="187" t="str">
        <f ca="1">Sprache!$A$148</f>
        <v>Коленчатый подъемник Kinvaro T-105, правый</v>
      </c>
      <c r="AP171" s="187" t="s">
        <v>817</v>
      </c>
      <c r="AQ171" s="187">
        <f>Limits!$K$9</f>
        <v>200</v>
      </c>
      <c r="AR171" s="124">
        <v>1200</v>
      </c>
      <c r="AS171" s="187" t="str">
        <f ca="1">CONCATENATE("TIOMOS 110° ",Sprache!$A$98)</f>
        <v>TIOMOS 110° Шарнир</v>
      </c>
      <c r="AT171" s="187" t="str">
        <f ca="1">CONCATENATE("1D° ",Sprache!$A$149)</f>
        <v>1D° Монтажная плита</v>
      </c>
    </row>
    <row r="172" spans="1:55" hidden="1" x14ac:dyDescent="0.25">
      <c r="A172" s="12" t="str">
        <f ca="1">IF(F172+G172+H172+I172+J172+D172+E172=3,IF(Tabelle2[[#This Row],[Kappe Weiß]]=Limits!$R$29,1,""),"")</f>
        <v/>
      </c>
      <c r="B172" s="12" t="str">
        <f ca="1">IF(G172+H172+I172+J172+E172+F172=2,IF(Tabelle2[[#This Row],[Kappe Weiß]]=Limits!$R$29,1,""),"")</f>
        <v/>
      </c>
      <c r="C172" s="291">
        <v>1</v>
      </c>
      <c r="D172" s="171">
        <f>IF(Limits!$P$12=TRUE,1,0)</f>
        <v>0</v>
      </c>
      <c r="E172" s="172">
        <f>IF(Daten!$P172+Daten!$Q172+Daten!$S172=3,1,0)</f>
        <v>0</v>
      </c>
      <c r="F172" s="173">
        <f ca="1">IF(AND(Limits!$Q$21=TRUE,Daten!O172=1)=TRUE,1,0)</f>
        <v>0</v>
      </c>
      <c r="G172" s="174">
        <f>IF(AND(Limits!$Q$25=TRUE,Daten!N172=1)=TRUE,1,0)</f>
        <v>0</v>
      </c>
      <c r="H172" s="174">
        <f>IF(AND(Limits!$Q$24=TRUE,Daten!M172=1)=TRUE,1,0)</f>
        <v>0</v>
      </c>
      <c r="I172" s="174">
        <f>IF(AND(Limits!$Q$23=TRUE,Daten!L172=1)=TRUE,1,0)</f>
        <v>0</v>
      </c>
      <c r="J172" s="174">
        <f>IF(AND(Limits!$Q$22=TRUE,Daten!K172=1)=TRUE,1,0)</f>
        <v>0</v>
      </c>
      <c r="K172" s="188">
        <f>IF(Daten!$V172=13,1,0)</f>
        <v>0</v>
      </c>
      <c r="L172" s="189">
        <f>IF(Daten!$V172&lt;&gt;Daten!$W172,1,IF(Daten!$V172=14,1,0))</f>
        <v>1</v>
      </c>
      <c r="M172" s="189">
        <f>IF(Daten!$V172&lt;&gt;Daten!$W172,1,IF(Daten!$V172=16,1,0))</f>
        <v>0</v>
      </c>
      <c r="N172" s="189">
        <f>IF(Daten!$W172=17,1,0)</f>
        <v>0</v>
      </c>
      <c r="O172" s="190">
        <f ca="1">IF(Daten!$X172=Sprache!$A$70,1,0)</f>
        <v>0</v>
      </c>
      <c r="P172" s="191">
        <f>IF(AND(Daten!$AQ172&lt;=KINVARO!$AW$3,Daten!$AR172&gt;=KINVARO!$AW$3)=TRUE,1,0)</f>
        <v>1</v>
      </c>
      <c r="Q172" s="192">
        <f>IF(AND(Daten!$AA172&lt;=KINVARO!$AW$4,Daten!$AB172&gt;=KINVARO!$AW$4)=TRUE,1,0)</f>
        <v>0</v>
      </c>
      <c r="R172" s="192"/>
      <c r="S172" s="192">
        <f>IF(AND(Daten!$AD172&lt;=Limits!$I$70,Daten!$AE172&gt;=Limits!$I$70)=TRUE,1,0)</f>
        <v>0</v>
      </c>
      <c r="T172" s="193">
        <f ca="1">IF(Daten!$Y172=Sprache!$A$135,1,0)</f>
        <v>0</v>
      </c>
      <c r="U172" s="124" t="str">
        <f ca="1">Sprache!$A$62</f>
        <v>T-105 Коленчатый подъемник</v>
      </c>
      <c r="V172" s="194">
        <v>14</v>
      </c>
      <c r="W172" s="193">
        <v>14</v>
      </c>
      <c r="X172" s="187" t="str">
        <f ca="1">Sprache!$A$141</f>
        <v>Alu</v>
      </c>
      <c r="Y172" s="187" t="str">
        <f ca="1">Sprache!$A$136</f>
        <v>nein</v>
      </c>
      <c r="Z172" s="187" t="str">
        <f ca="1">Sprache!$A$79</f>
        <v>Створка</v>
      </c>
      <c r="AA172" s="187">
        <v>300</v>
      </c>
      <c r="AB172" s="124">
        <v>349</v>
      </c>
      <c r="AC172" s="187"/>
      <c r="AD172" s="195">
        <v>3.2</v>
      </c>
      <c r="AE172" s="196">
        <v>8.6</v>
      </c>
      <c r="AF172" s="263" t="str">
        <f>MID(Tabelle2[[#This Row],[bnr full]],1,4)</f>
        <v>F151</v>
      </c>
      <c r="AG172" s="264" t="str">
        <f>MID(Tabelle2[[#This Row],[bnr full]],5,3)</f>
        <v>145</v>
      </c>
      <c r="AH172" s="265" t="str">
        <f>MID(Tabelle2[[#This Row],[bnr full]],8,3)</f>
        <v>214</v>
      </c>
      <c r="AI172" s="264" t="str">
        <f>MID(Tabelle2[[#This Row],[bnr full]],11,3)</f>
        <v>201</v>
      </c>
      <c r="AJ172" s="252" t="str">
        <f>MID(Tabelle2[[#This Row],[bnr full]],11,3)</f>
        <v>201</v>
      </c>
      <c r="AK172" s="197" t="s">
        <v>787</v>
      </c>
      <c r="AL172" s="124" t="str">
        <f ca="1">Sprache!$A$112</f>
        <v>Правый</v>
      </c>
      <c r="AM172" s="187" t="str">
        <f ca="1">Sprache!$A$134</f>
        <v>2 коленчатых подъемника</v>
      </c>
      <c r="AN172" s="187" t="str">
        <f ca="1">Sprache!$A$125</f>
        <v>Пружина, стандарт</v>
      </c>
      <c r="AO172" s="187" t="str">
        <f ca="1">Sprache!$A$148</f>
        <v>Коленчатый подъемник Kinvaro T-105, правый</v>
      </c>
      <c r="AP172" s="187" t="s">
        <v>818</v>
      </c>
      <c r="AQ172" s="187">
        <f>Limits!$K$9</f>
        <v>200</v>
      </c>
      <c r="AR172" s="124">
        <v>1200</v>
      </c>
      <c r="AS172" s="187" t="str">
        <f ca="1">CONCATENATE("TIOMOS 110° ",Sprache!$A$150)</f>
        <v>TIOMOS 110° Шарнир для алюминиевой рамки</v>
      </c>
      <c r="AT172" s="187" t="str">
        <f ca="1">CONCATENATE("1D° ",Sprache!$A$149)</f>
        <v>1D° Монтажная плита</v>
      </c>
      <c r="AU172"/>
      <c r="AV172"/>
      <c r="AY172"/>
      <c r="AZ172"/>
      <c r="BA172"/>
      <c r="BB172"/>
      <c r="BC172"/>
    </row>
    <row r="173" spans="1:55" hidden="1" x14ac:dyDescent="0.25">
      <c r="A173" s="12" t="str">
        <f ca="1">IF(F173+G173+H173+I173+J173+D173+E173=3,IF(Tabelle2[[#This Row],[Kappe Weiß]]=Limits!$R$29,1,""),"")</f>
        <v/>
      </c>
      <c r="B173" s="12" t="str">
        <f ca="1">IF(G173+H173+I173+J173+E173+F173=2,IF(Tabelle2[[#This Row],[Kappe Weiß]]=Limits!$R$29,1,""),"")</f>
        <v/>
      </c>
      <c r="C173" s="291">
        <v>1</v>
      </c>
      <c r="D173" s="171">
        <f>IF(Limits!$P$12=TRUE,1,0)</f>
        <v>0</v>
      </c>
      <c r="E173" s="172">
        <f>IF(Daten!$P173+Daten!$Q173+Daten!$S173=3,1,0)</f>
        <v>0</v>
      </c>
      <c r="F173" s="173">
        <f ca="1">IF(AND(Limits!$Q$21=TRUE,Daten!O173=1)=TRUE,1,0)</f>
        <v>0</v>
      </c>
      <c r="G173" s="174">
        <f>IF(AND(Limits!$Q$25=TRUE,Daten!N173=1)=TRUE,1,0)</f>
        <v>0</v>
      </c>
      <c r="H173" s="174">
        <f>IF(AND(Limits!$Q$24=TRUE,Daten!M173=1)=TRUE,1,0)</f>
        <v>0</v>
      </c>
      <c r="I173" s="174">
        <f>IF(AND(Limits!$Q$23=TRUE,Daten!L173=1)=TRUE,1,0)</f>
        <v>0</v>
      </c>
      <c r="J173" s="174">
        <f>IF(AND(Limits!$Q$22=TRUE,Daten!K173=1)=TRUE,1,0)</f>
        <v>0</v>
      </c>
      <c r="K173" s="188">
        <f>IF(Daten!$V173=13,1,0)</f>
        <v>0</v>
      </c>
      <c r="L173" s="189">
        <f>IF(Daten!$V173&lt;&gt;Daten!$W173,1,IF(Daten!$V173=14,1,0))</f>
        <v>0</v>
      </c>
      <c r="M173" s="189">
        <f>IF(Daten!$V173&lt;&gt;Daten!$W173,1,IF(Daten!$V173=16,1,0))</f>
        <v>1</v>
      </c>
      <c r="N173" s="189">
        <f>IF(Daten!$W173=17,1,0)</f>
        <v>0</v>
      </c>
      <c r="O173" s="190">
        <f ca="1">IF(Daten!$X173=Sprache!$A$70,1,0)</f>
        <v>0</v>
      </c>
      <c r="P173" s="191">
        <f>IF(AND(Daten!$AQ173&lt;=KINVARO!$AW$3,Daten!$AR173&gt;=KINVARO!$AW$3)=TRUE,1,0)</f>
        <v>1</v>
      </c>
      <c r="Q173" s="192">
        <f>IF(AND(Daten!$AA173&lt;=KINVARO!$AW$4,Daten!$AB173&gt;=KINVARO!$AW$4)=TRUE,1,0)</f>
        <v>0</v>
      </c>
      <c r="R173" s="192"/>
      <c r="S173" s="192">
        <f>IF(AND(Daten!$AD173&lt;=Limits!$I$70,Daten!$AE173&gt;=Limits!$I$70)=TRUE,1,0)</f>
        <v>0</v>
      </c>
      <c r="T173" s="193">
        <f ca="1">IF(Daten!$Y173=Sprache!$A$135,1,0)</f>
        <v>0</v>
      </c>
      <c r="U173" s="124" t="str">
        <f ca="1">Sprache!$A$62</f>
        <v>T-105 Коленчатый подъемник</v>
      </c>
      <c r="V173" s="194">
        <v>16</v>
      </c>
      <c r="W173" s="193">
        <v>16</v>
      </c>
      <c r="X173" s="187" t="str">
        <f ca="1">Sprache!$A$141</f>
        <v>Alu</v>
      </c>
      <c r="Y173" s="187" t="str">
        <f ca="1">Sprache!$A$136</f>
        <v>nein</v>
      </c>
      <c r="Z173" s="187" t="str">
        <f ca="1">Sprache!$A$79</f>
        <v>Створка</v>
      </c>
      <c r="AA173" s="187">
        <v>300</v>
      </c>
      <c r="AB173" s="124">
        <v>349</v>
      </c>
      <c r="AC173" s="187"/>
      <c r="AD173" s="195">
        <v>3.2</v>
      </c>
      <c r="AE173" s="196">
        <v>8.6</v>
      </c>
      <c r="AF173" s="263" t="str">
        <f>MID(Tabelle2[[#This Row],[bnr full]],1,4)</f>
        <v>F151</v>
      </c>
      <c r="AG173" s="264" t="str">
        <f>MID(Tabelle2[[#This Row],[bnr full]],5,3)</f>
        <v>145</v>
      </c>
      <c r="AH173" s="265" t="str">
        <f>MID(Tabelle2[[#This Row],[bnr full]],8,3)</f>
        <v>216</v>
      </c>
      <c r="AI173" s="264" t="str">
        <f>MID(Tabelle2[[#This Row],[bnr full]],11,3)</f>
        <v>201</v>
      </c>
      <c r="AJ173" s="252" t="str">
        <f>MID(Tabelle2[[#This Row],[bnr full]],11,3)</f>
        <v>201</v>
      </c>
      <c r="AK173" s="197" t="s">
        <v>788</v>
      </c>
      <c r="AL173" s="124" t="str">
        <f ca="1">Sprache!$A$112</f>
        <v>Правый</v>
      </c>
      <c r="AM173" s="187" t="str">
        <f ca="1">Sprache!$A$134</f>
        <v>2 коленчатых подъемника</v>
      </c>
      <c r="AN173" s="187" t="str">
        <f ca="1">Sprache!$A$125</f>
        <v>Пружина, стандарт</v>
      </c>
      <c r="AO173" s="187" t="str">
        <f ca="1">Sprache!$A$148</f>
        <v>Коленчатый подъемник Kinvaro T-105, правый</v>
      </c>
      <c r="AP173" s="187" t="s">
        <v>819</v>
      </c>
      <c r="AQ173" s="187">
        <f>Limits!$K$9</f>
        <v>200</v>
      </c>
      <c r="AR173" s="124">
        <v>1200</v>
      </c>
      <c r="AS173" s="187" t="str">
        <f ca="1">CONCATENATE("TIOMOS 110° ",Sprache!$A$150)</f>
        <v>TIOMOS 110° Шарнир для алюминиевой рамки</v>
      </c>
      <c r="AT173" s="187" t="str">
        <f ca="1">CONCATENATE("1D° ",Sprache!$A$149)</f>
        <v>1D° Монтажная плита</v>
      </c>
      <c r="AU173"/>
      <c r="AV173"/>
      <c r="AY173"/>
      <c r="AZ173"/>
      <c r="BA173"/>
      <c r="BB173"/>
      <c r="BC173"/>
    </row>
    <row r="174" spans="1:55" hidden="1" x14ac:dyDescent="0.25">
      <c r="A174" s="12" t="str">
        <f ca="1">IF(F174+G174+H174+I174+J174+D174+E174=3,IF(Tabelle2[[#This Row],[Kappe Weiß]]=Limits!$R$29,1,""),"")</f>
        <v/>
      </c>
      <c r="B174" s="12" t="str">
        <f ca="1">IF(G174+H174+I174+J174+E174+F174=2,IF(Tabelle2[[#This Row],[Kappe Weiß]]=Limits!$R$29,1,""),"")</f>
        <v/>
      </c>
      <c r="C174" s="292">
        <v>1</v>
      </c>
      <c r="D174" s="171">
        <f>IF(Limits!$P$12=TRUE,1,0)</f>
        <v>0</v>
      </c>
      <c r="E174" s="172">
        <f>IF(Daten!$P174+Daten!$Q174+Daten!$S174=3,1,0)</f>
        <v>0</v>
      </c>
      <c r="F174" s="173">
        <f ca="1">IF(AND(Limits!$Q$21=TRUE,Daten!O174=1)=TRUE,1,0)</f>
        <v>1</v>
      </c>
      <c r="G174" s="174">
        <f ca="1">IF(AND(Limits!$Q$25=TRUE,Daten!N174=1)=TRUE,1,0)</f>
        <v>0</v>
      </c>
      <c r="H174" s="174">
        <f ca="1">IF(AND(Limits!$Q$24=TRUE,Daten!M174=1)=TRUE,1,0)</f>
        <v>0</v>
      </c>
      <c r="I174" s="174">
        <f ca="1">IF(AND(Limits!$Q$23=TRUE,Daten!L174=1)=TRUE,1,0)</f>
        <v>0</v>
      </c>
      <c r="J174" s="174">
        <f ca="1">IF(AND(Limits!$Q$22=TRUE,Daten!K174=1)=TRUE,1,0)</f>
        <v>0</v>
      </c>
      <c r="K174" s="188">
        <f ca="1">IF(Daten!$V174=13,1,0)</f>
        <v>0</v>
      </c>
      <c r="L174" s="189">
        <f ca="1">IF(Daten!$V174&lt;&gt;Daten!$W174,1,IF(Daten!$V174=14,1,0))</f>
        <v>0</v>
      </c>
      <c r="M174" s="189">
        <f ca="1">IF(Daten!$V174&lt;&gt;Daten!$W174,1,IF(Daten!$V174=16,1,0))</f>
        <v>0</v>
      </c>
      <c r="N174" s="189">
        <f ca="1">IF(Daten!$W174=17,1,0)</f>
        <v>0</v>
      </c>
      <c r="O174" s="190">
        <f ca="1">IF(Daten!$X174=Sprache!$A$70,1,0)</f>
        <v>1</v>
      </c>
      <c r="P174" s="198">
        <f>IF(AND(Daten!$AQ174&lt;=KINVARO!$AW$3,Daten!$AR174&gt;=KINVARO!$AW$3)=TRUE,1,0)</f>
        <v>1</v>
      </c>
      <c r="Q174" s="199">
        <f>IF(AND(Daten!$AA174&lt;=KINVARO!$AW$4,Daten!$AB174&gt;=KINVARO!$AW$4)=TRUE,1,0)</f>
        <v>0</v>
      </c>
      <c r="R174" s="199"/>
      <c r="S174" s="199">
        <f>IF(AND(Daten!$AD174&lt;=Limits!$I$70,Daten!$AE174&gt;=Limits!$I$70)=TRUE,1,0)</f>
        <v>0</v>
      </c>
      <c r="T174" s="200">
        <f ca="1">IF(Daten!$Y174=Sprache!$A$135,1,0)</f>
        <v>0</v>
      </c>
      <c r="U174" s="201" t="str">
        <f ca="1">Sprache!$A$62</f>
        <v>T-105 Коленчатый подъемник</v>
      </c>
      <c r="V174" s="202" t="str">
        <f ca="1">Sprache!$A$74</f>
        <v>var</v>
      </c>
      <c r="W174" s="200" t="str">
        <f ca="1">Sprache!$A$74</f>
        <v>var</v>
      </c>
      <c r="X174" s="203" t="str">
        <f ca="1">Sprache!$A$70</f>
        <v>соединение с древесиной</v>
      </c>
      <c r="Y174" s="187" t="str">
        <f ca="1">Sprache!$A$136</f>
        <v>nein</v>
      </c>
      <c r="Z174" s="203" t="str">
        <f ca="1">Sprache!$A$79</f>
        <v>Створка</v>
      </c>
      <c r="AA174" s="203">
        <v>350</v>
      </c>
      <c r="AB174" s="201">
        <v>399</v>
      </c>
      <c r="AC174" s="203"/>
      <c r="AD174" s="204">
        <v>1.3</v>
      </c>
      <c r="AE174" s="205">
        <v>4.0999999999999996</v>
      </c>
      <c r="AF174" s="266" t="str">
        <f>MID(Tabelle2[[#This Row],[bnr full]],1,4)</f>
        <v>F151</v>
      </c>
      <c r="AG174" s="267" t="str">
        <f>MID(Tabelle2[[#This Row],[bnr full]],5,3)</f>
        <v>145</v>
      </c>
      <c r="AH174" s="268" t="str">
        <f>MID(Tabelle2[[#This Row],[bnr full]],8,3)</f>
        <v>220</v>
      </c>
      <c r="AI174" s="267" t="str">
        <f>MID(Tabelle2[[#This Row],[bnr full]],11,3)</f>
        <v>201</v>
      </c>
      <c r="AJ174" s="253" t="str">
        <f>MID(Tabelle2[[#This Row],[bnr full]],11,3)</f>
        <v>201</v>
      </c>
      <c r="AK174" s="206" t="s">
        <v>785</v>
      </c>
      <c r="AL174" s="201" t="str">
        <f ca="1">Sprache!$A$112</f>
        <v>Правый</v>
      </c>
      <c r="AM174" s="203" t="str">
        <f ca="1">Sprache!$A$133</f>
        <v>1 коленчатый подъемник</v>
      </c>
      <c r="AN174" s="203" t="str">
        <f ca="1">Sprache!$A$125</f>
        <v>Пружина, стандарт</v>
      </c>
      <c r="AO174" s="203" t="str">
        <f ca="1">Sprache!$A$148</f>
        <v>Коленчатый подъемник Kinvaro T-105, правый</v>
      </c>
      <c r="AP174" s="203" t="s">
        <v>816</v>
      </c>
      <c r="AQ174" s="203">
        <f>Limits!$K$9</f>
        <v>200</v>
      </c>
      <c r="AR174" s="201">
        <v>1200</v>
      </c>
      <c r="AS174" s="187" t="str">
        <f ca="1">CONCATENATE("TIOMOS 110° ",Sprache!$A$98)</f>
        <v>TIOMOS 110° Шарнир</v>
      </c>
      <c r="AT174" s="187" t="str">
        <f ca="1">CONCATENATE("1D° ",Sprache!$A$149)</f>
        <v>1D° Монтажная плита</v>
      </c>
      <c r="AU174"/>
      <c r="AV174"/>
      <c r="AY174"/>
      <c r="AZ174"/>
      <c r="BA174"/>
      <c r="BB174"/>
      <c r="BC174"/>
    </row>
    <row r="175" spans="1:55" s="5" customFormat="1" hidden="1" x14ac:dyDescent="0.25">
      <c r="A175" s="12" t="str">
        <f ca="1">IF(F175+G175+H175+I175+J175+D175+E175=3,IF(Tabelle2[[#This Row],[Kappe Weiß]]=Limits!$R$29,1,""),"")</f>
        <v/>
      </c>
      <c r="B175" s="12" t="str">
        <f ca="1">IF(G175+H175+I175+J175+E175+F175=2,IF(Tabelle2[[#This Row],[Kappe Weiß]]=Limits!$R$29,1,""),"")</f>
        <v/>
      </c>
      <c r="C175" s="291">
        <v>1</v>
      </c>
      <c r="D175" s="171">
        <f>IF(Limits!$P$12=TRUE,1,0)</f>
        <v>0</v>
      </c>
      <c r="E175" s="172">
        <f>IF(Daten!$P175+Daten!$Q175+Daten!$S175=3,1,0)</f>
        <v>0</v>
      </c>
      <c r="F175" s="173">
        <f ca="1">IF(AND(Limits!$Q$21=TRUE,Daten!O175=1)=TRUE,1,0)</f>
        <v>1</v>
      </c>
      <c r="G175" s="174">
        <f ca="1">IF(AND(Limits!$Q$25=TRUE,Daten!N175=1)=TRUE,1,0)</f>
        <v>0</v>
      </c>
      <c r="H175" s="174">
        <f ca="1">IF(AND(Limits!$Q$24=TRUE,Daten!M175=1)=TRUE,1,0)</f>
        <v>0</v>
      </c>
      <c r="I175" s="174">
        <f ca="1">IF(AND(Limits!$Q$23=TRUE,Daten!L175=1)=TRUE,1,0)</f>
        <v>0</v>
      </c>
      <c r="J175" s="174">
        <f ca="1">IF(AND(Limits!$Q$22=TRUE,Daten!K175=1)=TRUE,1,0)</f>
        <v>0</v>
      </c>
      <c r="K175" s="188">
        <f ca="1">IF(Daten!$V175=13,1,0)</f>
        <v>0</v>
      </c>
      <c r="L175" s="189">
        <f ca="1">IF(Daten!$V175&lt;&gt;Daten!$W175,1,IF(Daten!$V175=14,1,0))</f>
        <v>0</v>
      </c>
      <c r="M175" s="189">
        <f ca="1">IF(Daten!$V175&lt;&gt;Daten!$W175,1,IF(Daten!$V175=16,1,0))</f>
        <v>0</v>
      </c>
      <c r="N175" s="189">
        <f ca="1">IF(Daten!$W175=17,1,0)</f>
        <v>0</v>
      </c>
      <c r="O175" s="190">
        <f ca="1">IF(Daten!$X175=Sprache!$A$70,1,0)</f>
        <v>1</v>
      </c>
      <c r="P175" s="191">
        <f>IF(AND(Daten!$AQ175&lt;=KINVARO!$AW$3,Daten!$AR175&gt;=KINVARO!$AW$3)=TRUE,1,0)</f>
        <v>1</v>
      </c>
      <c r="Q175" s="192">
        <f>IF(AND(Daten!$AA175&lt;=KINVARO!$AW$4,Daten!$AB175&gt;=KINVARO!$AW$4)=TRUE,1,0)</f>
        <v>0</v>
      </c>
      <c r="R175" s="192"/>
      <c r="S175" s="192">
        <f>IF(AND(Daten!$AD175&lt;=Limits!$I$70,Daten!$AE175&gt;=Limits!$I$70)=TRUE,1,0)</f>
        <v>0</v>
      </c>
      <c r="T175" s="193">
        <f ca="1">IF(Daten!$Y175=Sprache!$A$135,1,0)</f>
        <v>0</v>
      </c>
      <c r="U175" s="124" t="str">
        <f ca="1">Sprache!$A$62</f>
        <v>T-105 Коленчатый подъемник</v>
      </c>
      <c r="V175" s="194" t="str">
        <f ca="1">Sprache!$A$74</f>
        <v>var</v>
      </c>
      <c r="W175" s="193" t="str">
        <f ca="1">Sprache!$A$74</f>
        <v>var</v>
      </c>
      <c r="X175" s="187" t="str">
        <f ca="1">Sprache!$A$70</f>
        <v>соединение с древесиной</v>
      </c>
      <c r="Y175" s="187" t="str">
        <f ca="1">Sprache!$A$136</f>
        <v>nein</v>
      </c>
      <c r="Z175" s="187" t="str">
        <f ca="1">Sprache!$A$79</f>
        <v>Створка</v>
      </c>
      <c r="AA175" s="187">
        <v>350</v>
      </c>
      <c r="AB175" s="124">
        <v>399</v>
      </c>
      <c r="AC175" s="187"/>
      <c r="AD175" s="195">
        <v>2.4</v>
      </c>
      <c r="AE175" s="196">
        <v>4.8</v>
      </c>
      <c r="AF175" s="263" t="str">
        <f>MID(Tabelle2[[#This Row],[bnr full]],1,4)</f>
        <v>F151</v>
      </c>
      <c r="AG175" s="264" t="str">
        <f>MID(Tabelle2[[#This Row],[bnr full]],5,3)</f>
        <v>145</v>
      </c>
      <c r="AH175" s="265" t="str">
        <f>MID(Tabelle2[[#This Row],[bnr full]],8,3)</f>
        <v>218</v>
      </c>
      <c r="AI175" s="264" t="str">
        <f>MID(Tabelle2[[#This Row],[bnr full]],11,3)</f>
        <v>201</v>
      </c>
      <c r="AJ175" s="252" t="str">
        <f>MID(Tabelle2[[#This Row],[bnr full]],11,3)</f>
        <v>201</v>
      </c>
      <c r="AK175" s="197" t="s">
        <v>786</v>
      </c>
      <c r="AL175" s="124" t="str">
        <f ca="1">Sprache!$A$112</f>
        <v>Правый</v>
      </c>
      <c r="AM175" s="187" t="str">
        <f ca="1">Sprache!$A$133</f>
        <v>1 коленчатый подъемник</v>
      </c>
      <c r="AN175" s="187" t="str">
        <f ca="1">Sprache!$A$126</f>
        <v>Пружина, черная</v>
      </c>
      <c r="AO175" s="187" t="str">
        <f ca="1">Sprache!$A$148</f>
        <v>Коленчатый подъемник Kinvaro T-105, правый</v>
      </c>
      <c r="AP175" s="187" t="s">
        <v>817</v>
      </c>
      <c r="AQ175" s="187">
        <f>Limits!$K$9</f>
        <v>200</v>
      </c>
      <c r="AR175" s="124">
        <v>1200</v>
      </c>
      <c r="AS175" s="187" t="str">
        <f ca="1">CONCATENATE("TIOMOS 110° ",Sprache!$A$98)</f>
        <v>TIOMOS 110° Шарнир</v>
      </c>
      <c r="AT175" s="187" t="str">
        <f ca="1">CONCATENATE("1D° ",Sprache!$A$149)</f>
        <v>1D° Монтажная плита</v>
      </c>
    </row>
    <row r="176" spans="1:55" hidden="1" x14ac:dyDescent="0.25">
      <c r="A176" s="12" t="str">
        <f ca="1">IF(F176+G176+H176+I176+J176+D176+E176=3,IF(Tabelle2[[#This Row],[Kappe Weiß]]=Limits!$R$29,1,""),"")</f>
        <v/>
      </c>
      <c r="B176" s="12" t="str">
        <f ca="1">IF(G176+H176+I176+J176+E176+F176=2,IF(Tabelle2[[#This Row],[Kappe Weiß]]=Limits!$R$29,1,""),"")</f>
        <v/>
      </c>
      <c r="C176" s="291">
        <v>1</v>
      </c>
      <c r="D176" s="171">
        <f>IF(Limits!$P$12=TRUE,1,0)</f>
        <v>0</v>
      </c>
      <c r="E176" s="172">
        <f>IF(Daten!$P176+Daten!$Q176+Daten!$S176=3,1,0)</f>
        <v>0</v>
      </c>
      <c r="F176" s="173">
        <f ca="1">IF(AND(Limits!$Q$21=TRUE,Daten!O176=1)=TRUE,1,0)</f>
        <v>0</v>
      </c>
      <c r="G176" s="174">
        <f>IF(AND(Limits!$Q$25=TRUE,Daten!N176=1)=TRUE,1,0)</f>
        <v>0</v>
      </c>
      <c r="H176" s="174">
        <f>IF(AND(Limits!$Q$24=TRUE,Daten!M176=1)=TRUE,1,0)</f>
        <v>0</v>
      </c>
      <c r="I176" s="174">
        <f>IF(AND(Limits!$Q$23=TRUE,Daten!L176=1)=TRUE,1,0)</f>
        <v>0</v>
      </c>
      <c r="J176" s="174">
        <f>IF(AND(Limits!$Q$22=TRUE,Daten!K176=1)=TRUE,1,0)</f>
        <v>0</v>
      </c>
      <c r="K176" s="188">
        <f>IF(Daten!$V176=13,1,0)</f>
        <v>0</v>
      </c>
      <c r="L176" s="189">
        <f>IF(Daten!$V176&lt;&gt;Daten!$W176,1,IF(Daten!$V176=14,1,0))</f>
        <v>1</v>
      </c>
      <c r="M176" s="189">
        <f>IF(Daten!$V176&lt;&gt;Daten!$W176,1,IF(Daten!$V176=16,1,0))</f>
        <v>0</v>
      </c>
      <c r="N176" s="189">
        <f>IF(Daten!$W176=17,1,0)</f>
        <v>0</v>
      </c>
      <c r="O176" s="190">
        <f ca="1">IF(Daten!$X176=Sprache!$A$70,1,0)</f>
        <v>0</v>
      </c>
      <c r="P176" s="191">
        <f>IF(AND(Daten!$AQ176&lt;=KINVARO!$AW$3,Daten!$AR176&gt;=KINVARO!$AW$3)=TRUE,1,0)</f>
        <v>1</v>
      </c>
      <c r="Q176" s="192">
        <f>IF(AND(Daten!$AA176&lt;=KINVARO!$AW$4,Daten!$AB176&gt;=KINVARO!$AW$4)=TRUE,1,0)</f>
        <v>0</v>
      </c>
      <c r="R176" s="192"/>
      <c r="S176" s="192">
        <f>IF(AND(Daten!$AD176&lt;=Limits!$I$70,Daten!$AE176&gt;=Limits!$I$70)=TRUE,1,0)</f>
        <v>0</v>
      </c>
      <c r="T176" s="193">
        <f ca="1">IF(Daten!$Y176=Sprache!$A$135,1,0)</f>
        <v>0</v>
      </c>
      <c r="U176" s="124" t="str">
        <f ca="1">Sprache!$A$62</f>
        <v>T-105 Коленчатый подъемник</v>
      </c>
      <c r="V176" s="194">
        <v>14</v>
      </c>
      <c r="W176" s="193">
        <v>14</v>
      </c>
      <c r="X176" s="187" t="str">
        <f ca="1">Sprache!$A$141</f>
        <v>Alu</v>
      </c>
      <c r="Y176" s="187" t="str">
        <f ca="1">Sprache!$A$136</f>
        <v>nein</v>
      </c>
      <c r="Z176" s="187" t="str">
        <f ca="1">Sprache!$A$79</f>
        <v>Створка</v>
      </c>
      <c r="AA176" s="187">
        <v>350</v>
      </c>
      <c r="AB176" s="124">
        <v>399</v>
      </c>
      <c r="AC176" s="187"/>
      <c r="AD176" s="195">
        <v>1.3</v>
      </c>
      <c r="AE176" s="196">
        <v>4.0999999999999996</v>
      </c>
      <c r="AF176" s="263" t="str">
        <f>MID(Tabelle2[[#This Row],[bnr full]],1,4)</f>
        <v>F151</v>
      </c>
      <c r="AG176" s="264" t="str">
        <f>MID(Tabelle2[[#This Row],[bnr full]],5,3)</f>
        <v>145</v>
      </c>
      <c r="AH176" s="265" t="str">
        <f>MID(Tabelle2[[#This Row],[bnr full]],8,3)</f>
        <v>214</v>
      </c>
      <c r="AI176" s="264" t="str">
        <f>MID(Tabelle2[[#This Row],[bnr full]],11,3)</f>
        <v>201</v>
      </c>
      <c r="AJ176" s="252" t="str">
        <f>MID(Tabelle2[[#This Row],[bnr full]],11,3)</f>
        <v>201</v>
      </c>
      <c r="AK176" s="197" t="s">
        <v>787</v>
      </c>
      <c r="AL176" s="124" t="str">
        <f ca="1">Sprache!$A$112</f>
        <v>Правый</v>
      </c>
      <c r="AM176" s="187" t="str">
        <f ca="1">Sprache!$A$133</f>
        <v>1 коленчатый подъемник</v>
      </c>
      <c r="AN176" s="187" t="str">
        <f ca="1">Sprache!$A$125</f>
        <v>Пружина, стандарт</v>
      </c>
      <c r="AO176" s="187" t="str">
        <f ca="1">Sprache!$A$148</f>
        <v>Коленчатый подъемник Kinvaro T-105, правый</v>
      </c>
      <c r="AP176" s="187" t="s">
        <v>818</v>
      </c>
      <c r="AQ176" s="187">
        <f>Limits!$K$9</f>
        <v>200</v>
      </c>
      <c r="AR176" s="124">
        <v>1200</v>
      </c>
      <c r="AS176" s="187" t="str">
        <f ca="1">CONCATENATE("TIOMOS 110° ",Sprache!$A$150)</f>
        <v>TIOMOS 110° Шарнир для алюминиевой рамки</v>
      </c>
      <c r="AT176" s="187" t="str">
        <f ca="1">CONCATENATE("1D° ",Sprache!$A$149)</f>
        <v>1D° Монтажная плита</v>
      </c>
      <c r="AU176"/>
      <c r="AV176"/>
      <c r="AY176"/>
      <c r="AZ176"/>
      <c r="BA176"/>
      <c r="BB176"/>
      <c r="BC176"/>
    </row>
    <row r="177" spans="1:55" hidden="1" x14ac:dyDescent="0.25">
      <c r="A177" s="12" t="str">
        <f ca="1">IF(F177+G177+H177+I177+J177+D177+E177=3,IF(Tabelle2[[#This Row],[Kappe Weiß]]=Limits!$R$29,1,""),"")</f>
        <v/>
      </c>
      <c r="B177" s="12" t="str">
        <f ca="1">IF(G177+H177+I177+J177+E177+F177=2,IF(Tabelle2[[#This Row],[Kappe Weiß]]=Limits!$R$29,1,""),"")</f>
        <v/>
      </c>
      <c r="C177" s="291">
        <v>1</v>
      </c>
      <c r="D177" s="171">
        <f>IF(Limits!$P$12=TRUE,1,0)</f>
        <v>0</v>
      </c>
      <c r="E177" s="172">
        <f>IF(Daten!$P177+Daten!$Q177+Daten!$S177=3,1,0)</f>
        <v>0</v>
      </c>
      <c r="F177" s="173">
        <f ca="1">IF(AND(Limits!$Q$21=TRUE,Daten!O177=1)=TRUE,1,0)</f>
        <v>0</v>
      </c>
      <c r="G177" s="174">
        <f>IF(AND(Limits!$Q$25=TRUE,Daten!N177=1)=TRUE,1,0)</f>
        <v>0</v>
      </c>
      <c r="H177" s="174">
        <f>IF(AND(Limits!$Q$24=TRUE,Daten!M177=1)=TRUE,1,0)</f>
        <v>0</v>
      </c>
      <c r="I177" s="174">
        <f>IF(AND(Limits!$Q$23=TRUE,Daten!L177=1)=TRUE,1,0)</f>
        <v>0</v>
      </c>
      <c r="J177" s="174">
        <f>IF(AND(Limits!$Q$22=TRUE,Daten!K177=1)=TRUE,1,0)</f>
        <v>0</v>
      </c>
      <c r="K177" s="188">
        <f>IF(Daten!$V177=13,1,0)</f>
        <v>0</v>
      </c>
      <c r="L177" s="189">
        <f>IF(Daten!$V177&lt;&gt;Daten!$W177,1,IF(Daten!$V177=14,1,0))</f>
        <v>0</v>
      </c>
      <c r="M177" s="189">
        <f>IF(Daten!$V177&lt;&gt;Daten!$W177,1,IF(Daten!$V177=16,1,0))</f>
        <v>1</v>
      </c>
      <c r="N177" s="189">
        <f>IF(Daten!$W177=17,1,0)</f>
        <v>0</v>
      </c>
      <c r="O177" s="190">
        <f ca="1">IF(Daten!$X177=Sprache!$A$70,1,0)</f>
        <v>0</v>
      </c>
      <c r="P177" s="191">
        <f>IF(AND(Daten!$AQ177&lt;=KINVARO!$AW$3,Daten!$AR177&gt;=KINVARO!$AW$3)=TRUE,1,0)</f>
        <v>1</v>
      </c>
      <c r="Q177" s="192">
        <f>IF(AND(Daten!$AA177&lt;=KINVARO!$AW$4,Daten!$AB177&gt;=KINVARO!$AW$4)=TRUE,1,0)</f>
        <v>0</v>
      </c>
      <c r="R177" s="192"/>
      <c r="S177" s="192">
        <f>IF(AND(Daten!$AD177&lt;=Limits!$I$70,Daten!$AE177&gt;=Limits!$I$70)=TRUE,1,0)</f>
        <v>0</v>
      </c>
      <c r="T177" s="193">
        <f ca="1">IF(Daten!$Y177=Sprache!$A$135,1,0)</f>
        <v>0</v>
      </c>
      <c r="U177" s="124" t="str">
        <f ca="1">Sprache!$A$62</f>
        <v>T-105 Коленчатый подъемник</v>
      </c>
      <c r="V177" s="194">
        <v>16</v>
      </c>
      <c r="W177" s="193">
        <v>16</v>
      </c>
      <c r="X177" s="187" t="str">
        <f ca="1">Sprache!$A$141</f>
        <v>Alu</v>
      </c>
      <c r="Y177" s="187" t="str">
        <f ca="1">Sprache!$A$136</f>
        <v>nein</v>
      </c>
      <c r="Z177" s="187" t="str">
        <f ca="1">Sprache!$A$79</f>
        <v>Створка</v>
      </c>
      <c r="AA177" s="187">
        <v>350</v>
      </c>
      <c r="AB177" s="124">
        <v>399</v>
      </c>
      <c r="AC177" s="187"/>
      <c r="AD177" s="195">
        <v>1.3</v>
      </c>
      <c r="AE177" s="196">
        <v>4.0999999999999996</v>
      </c>
      <c r="AF177" s="263" t="str">
        <f>MID(Tabelle2[[#This Row],[bnr full]],1,4)</f>
        <v>F151</v>
      </c>
      <c r="AG177" s="264" t="str">
        <f>MID(Tabelle2[[#This Row],[bnr full]],5,3)</f>
        <v>145</v>
      </c>
      <c r="AH177" s="265" t="str">
        <f>MID(Tabelle2[[#This Row],[bnr full]],8,3)</f>
        <v>216</v>
      </c>
      <c r="AI177" s="264" t="str">
        <f>MID(Tabelle2[[#This Row],[bnr full]],11,3)</f>
        <v>201</v>
      </c>
      <c r="AJ177" s="252" t="str">
        <f>MID(Tabelle2[[#This Row],[bnr full]],11,3)</f>
        <v>201</v>
      </c>
      <c r="AK177" s="197" t="s">
        <v>788</v>
      </c>
      <c r="AL177" s="124" t="str">
        <f ca="1">Sprache!$A$112</f>
        <v>Правый</v>
      </c>
      <c r="AM177" s="187" t="str">
        <f ca="1">Sprache!$A$133</f>
        <v>1 коленчатый подъемник</v>
      </c>
      <c r="AN177" s="187" t="str">
        <f ca="1">Sprache!$A$125</f>
        <v>Пружина, стандарт</v>
      </c>
      <c r="AO177" s="187" t="str">
        <f ca="1">Sprache!$A$148</f>
        <v>Коленчатый подъемник Kinvaro T-105, правый</v>
      </c>
      <c r="AP177" s="187" t="s">
        <v>819</v>
      </c>
      <c r="AQ177" s="187">
        <f>Limits!$K$9</f>
        <v>200</v>
      </c>
      <c r="AR177" s="124">
        <v>1200</v>
      </c>
      <c r="AS177" s="187" t="str">
        <f ca="1">CONCATENATE("TIOMOS 110° ",Sprache!$A$150)</f>
        <v>TIOMOS 110° Шарнир для алюминиевой рамки</v>
      </c>
      <c r="AT177" s="187" t="str">
        <f ca="1">CONCATENATE("1D° ",Sprache!$A$149)</f>
        <v>1D° Монтажная плита</v>
      </c>
      <c r="AU177"/>
      <c r="AV177"/>
      <c r="AY177"/>
      <c r="AZ177"/>
      <c r="BA177"/>
      <c r="BB177"/>
      <c r="BC177"/>
    </row>
    <row r="178" spans="1:55" hidden="1" x14ac:dyDescent="0.25">
      <c r="A178" s="12" t="str">
        <f ca="1">IF(F178+G178+H178+I178+J178+D178+E178=3,IF(Tabelle2[[#This Row],[Kappe Weiß]]=Limits!$R$29,1,""),"")</f>
        <v/>
      </c>
      <c r="B178" s="12" t="str">
        <f ca="1">IF(G178+H178+I178+J178+E178+F178=2,IF(Tabelle2[[#This Row],[Kappe Weiß]]=Limits!$R$29,1,""),"")</f>
        <v/>
      </c>
      <c r="C178" s="291">
        <v>1</v>
      </c>
      <c r="D178" s="171">
        <f>IF(Limits!$P$12=TRUE,1,0)</f>
        <v>0</v>
      </c>
      <c r="E178" s="172">
        <f>IF(Daten!$P178+Daten!$Q178+Daten!$S178=3,1,0)</f>
        <v>0</v>
      </c>
      <c r="F178" s="173">
        <f ca="1">IF(AND(Limits!$Q$21=TRUE,Daten!O178=1)=TRUE,1,0)</f>
        <v>1</v>
      </c>
      <c r="G178" s="174">
        <f ca="1">IF(AND(Limits!$Q$25=TRUE,Daten!N178=1)=TRUE,1,0)</f>
        <v>0</v>
      </c>
      <c r="H178" s="174">
        <f ca="1">IF(AND(Limits!$Q$24=TRUE,Daten!M178=1)=TRUE,1,0)</f>
        <v>0</v>
      </c>
      <c r="I178" s="174">
        <f ca="1">IF(AND(Limits!$Q$23=TRUE,Daten!L178=1)=TRUE,1,0)</f>
        <v>0</v>
      </c>
      <c r="J178" s="174">
        <f ca="1">IF(AND(Limits!$Q$22=TRUE,Daten!K178=1)=TRUE,1,0)</f>
        <v>0</v>
      </c>
      <c r="K178" s="188">
        <f ca="1">IF(Daten!$V178=13,1,0)</f>
        <v>0</v>
      </c>
      <c r="L178" s="189">
        <f ca="1">IF(Daten!$V178&lt;&gt;Daten!$W178,1,IF(Daten!$V178=14,1,0))</f>
        <v>0</v>
      </c>
      <c r="M178" s="189">
        <f ca="1">IF(Daten!$V178&lt;&gt;Daten!$W178,1,IF(Daten!$V178=16,1,0))</f>
        <v>0</v>
      </c>
      <c r="N178" s="189">
        <f ca="1">IF(Daten!$W178=17,1,0)</f>
        <v>0</v>
      </c>
      <c r="O178" s="190">
        <f ca="1">IF(Daten!$X178=Sprache!$A$70,1,0)</f>
        <v>1</v>
      </c>
      <c r="P178" s="191">
        <f>IF(AND(Daten!$AQ178&lt;=KINVARO!$AW$3,Daten!$AR178&gt;=KINVARO!$AW$3)=TRUE,1,0)</f>
        <v>1</v>
      </c>
      <c r="Q178" s="192">
        <f>IF(AND(Daten!$AA178&lt;=KINVARO!$AW$4,Daten!$AB178&gt;=KINVARO!$AW$4)=TRUE,1,0)</f>
        <v>0</v>
      </c>
      <c r="R178" s="192"/>
      <c r="S178" s="192">
        <f>IF(AND(Daten!$AD178&lt;=Limits!$I$70,Daten!$AE178&gt;=Limits!$I$70)=TRUE,1,0)</f>
        <v>0</v>
      </c>
      <c r="T178" s="193">
        <f ca="1">IF(Daten!$Y178=Sprache!$A$135,1,0)</f>
        <v>0</v>
      </c>
      <c r="U178" s="124" t="str">
        <f ca="1">Sprache!$A$62</f>
        <v>T-105 Коленчатый подъемник</v>
      </c>
      <c r="V178" s="194" t="str">
        <f ca="1">Sprache!$A$74</f>
        <v>var</v>
      </c>
      <c r="W178" s="193" t="str">
        <f ca="1">Sprache!$A$74</f>
        <v>var</v>
      </c>
      <c r="X178" s="187" t="str">
        <f ca="1">Sprache!$A$70</f>
        <v>соединение с древесиной</v>
      </c>
      <c r="Y178" s="187" t="str">
        <f ca="1">Sprache!$A$136</f>
        <v>nein</v>
      </c>
      <c r="Z178" s="187" t="str">
        <f ca="1">Sprache!$A$79</f>
        <v>Створка</v>
      </c>
      <c r="AA178" s="187">
        <v>350</v>
      </c>
      <c r="AB178" s="124">
        <v>399</v>
      </c>
      <c r="AC178" s="187"/>
      <c r="AD178" s="195">
        <v>2.6</v>
      </c>
      <c r="AE178" s="196">
        <v>8.1</v>
      </c>
      <c r="AF178" s="263" t="str">
        <f>MID(Tabelle2[[#This Row],[bnr full]],1,4)</f>
        <v>F151</v>
      </c>
      <c r="AG178" s="264" t="str">
        <f>MID(Tabelle2[[#This Row],[bnr full]],5,3)</f>
        <v>145</v>
      </c>
      <c r="AH178" s="265" t="str">
        <f>MID(Tabelle2[[#This Row],[bnr full]],8,3)</f>
        <v>220</v>
      </c>
      <c r="AI178" s="264" t="str">
        <f>MID(Tabelle2[[#This Row],[bnr full]],11,3)</f>
        <v>201</v>
      </c>
      <c r="AJ178" s="252" t="str">
        <f>MID(Tabelle2[[#This Row],[bnr full]],11,3)</f>
        <v>201</v>
      </c>
      <c r="AK178" s="197" t="s">
        <v>785</v>
      </c>
      <c r="AL178" s="124" t="str">
        <f ca="1">Sprache!$A$112</f>
        <v>Правый</v>
      </c>
      <c r="AM178" s="187" t="str">
        <f ca="1">Sprache!$A$134</f>
        <v>2 коленчатых подъемника</v>
      </c>
      <c r="AN178" s="187" t="str">
        <f ca="1">Sprache!$A$125</f>
        <v>Пружина, стандарт</v>
      </c>
      <c r="AO178" s="187" t="str">
        <f ca="1">Sprache!$A$148</f>
        <v>Коленчатый подъемник Kinvaro T-105, правый</v>
      </c>
      <c r="AP178" s="187" t="s">
        <v>816</v>
      </c>
      <c r="AQ178" s="187">
        <f>Limits!$K$9</f>
        <v>200</v>
      </c>
      <c r="AR178" s="124">
        <v>1200</v>
      </c>
      <c r="AS178" s="187" t="str">
        <f ca="1">CONCATENATE("TIOMOS 110° ",Sprache!$A$98)</f>
        <v>TIOMOS 110° Шарнир</v>
      </c>
      <c r="AT178" s="187" t="str">
        <f ca="1">CONCATENATE("1D° ",Sprache!$A$149)</f>
        <v>1D° Монтажная плита</v>
      </c>
      <c r="AU178"/>
      <c r="AV178"/>
      <c r="AY178"/>
      <c r="AZ178"/>
      <c r="BA178"/>
      <c r="BB178"/>
      <c r="BC178"/>
    </row>
    <row r="179" spans="1:55" s="5" customFormat="1" hidden="1" x14ac:dyDescent="0.25">
      <c r="A179" s="12" t="str">
        <f ca="1">IF(F179+G179+H179+I179+J179+D179+E179=3,IF(Tabelle2[[#This Row],[Kappe Weiß]]=Limits!$R$29,1,""),"")</f>
        <v/>
      </c>
      <c r="B179" s="12" t="str">
        <f ca="1">IF(G179+H179+I179+J179+E179+F179=2,IF(Tabelle2[[#This Row],[Kappe Weiß]]=Limits!$R$29,1,""),"")</f>
        <v/>
      </c>
      <c r="C179" s="291">
        <v>1</v>
      </c>
      <c r="D179" s="171">
        <f>IF(Limits!$P$12=TRUE,1,0)</f>
        <v>0</v>
      </c>
      <c r="E179" s="172">
        <f>IF(Daten!$P179+Daten!$Q179+Daten!$S179=3,1,0)</f>
        <v>0</v>
      </c>
      <c r="F179" s="173">
        <f ca="1">IF(AND(Limits!$Q$21=TRUE,Daten!O179=1)=TRUE,1,0)</f>
        <v>1</v>
      </c>
      <c r="G179" s="174">
        <f ca="1">IF(AND(Limits!$Q$25=TRUE,Daten!N179=1)=TRUE,1,0)</f>
        <v>0</v>
      </c>
      <c r="H179" s="174">
        <f ca="1">IF(AND(Limits!$Q$24=TRUE,Daten!M179=1)=TRUE,1,0)</f>
        <v>0</v>
      </c>
      <c r="I179" s="174">
        <f ca="1">IF(AND(Limits!$Q$23=TRUE,Daten!L179=1)=TRUE,1,0)</f>
        <v>0</v>
      </c>
      <c r="J179" s="174">
        <f ca="1">IF(AND(Limits!$Q$22=TRUE,Daten!K179=1)=TRUE,1,0)</f>
        <v>0</v>
      </c>
      <c r="K179" s="188">
        <f ca="1">IF(Daten!$V179=13,1,0)</f>
        <v>0</v>
      </c>
      <c r="L179" s="189">
        <f ca="1">IF(Daten!$V179&lt;&gt;Daten!$W179,1,IF(Daten!$V179=14,1,0))</f>
        <v>0</v>
      </c>
      <c r="M179" s="189">
        <f ca="1">IF(Daten!$V179&lt;&gt;Daten!$W179,1,IF(Daten!$V179=16,1,0))</f>
        <v>0</v>
      </c>
      <c r="N179" s="189">
        <f ca="1">IF(Daten!$W179=17,1,0)</f>
        <v>0</v>
      </c>
      <c r="O179" s="190">
        <f ca="1">IF(Daten!$X179=Sprache!$A$70,1,0)</f>
        <v>1</v>
      </c>
      <c r="P179" s="191">
        <f>IF(AND(Daten!$AQ179&lt;=KINVARO!$AW$3,Daten!$AR179&gt;=KINVARO!$AW$3)=TRUE,1,0)</f>
        <v>1</v>
      </c>
      <c r="Q179" s="192">
        <f>IF(AND(Daten!$AA179&lt;=KINVARO!$AW$4,Daten!$AB179&gt;=KINVARO!$AW$4)=TRUE,1,0)</f>
        <v>0</v>
      </c>
      <c r="R179" s="192"/>
      <c r="S179" s="192">
        <f>IF(AND(Daten!$AD179&lt;=Limits!$I$70,Daten!$AE179&gt;=Limits!$I$70)=TRUE,1,0)</f>
        <v>0</v>
      </c>
      <c r="T179" s="193">
        <f ca="1">IF(Daten!$Y179=Sprache!$A$135,1,0)</f>
        <v>0</v>
      </c>
      <c r="U179" s="124" t="str">
        <f ca="1">Sprache!$A$62</f>
        <v>T-105 Коленчатый подъемник</v>
      </c>
      <c r="V179" s="194" t="str">
        <f ca="1">Sprache!$A$74</f>
        <v>var</v>
      </c>
      <c r="W179" s="193" t="str">
        <f ca="1">Sprache!$A$74</f>
        <v>var</v>
      </c>
      <c r="X179" s="187" t="str">
        <f ca="1">Sprache!$A$70</f>
        <v>соединение с древесиной</v>
      </c>
      <c r="Y179" s="187" t="str">
        <f ca="1">Sprache!$A$136</f>
        <v>nein</v>
      </c>
      <c r="Z179" s="187" t="str">
        <f ca="1">Sprache!$A$79</f>
        <v>Створка</v>
      </c>
      <c r="AA179" s="187">
        <v>350</v>
      </c>
      <c r="AB179" s="124">
        <v>399</v>
      </c>
      <c r="AC179" s="187"/>
      <c r="AD179" s="195">
        <v>4.8</v>
      </c>
      <c r="AE179" s="196">
        <v>9.5</v>
      </c>
      <c r="AF179" s="263" t="str">
        <f>MID(Tabelle2[[#This Row],[bnr full]],1,4)</f>
        <v>F151</v>
      </c>
      <c r="AG179" s="264" t="str">
        <f>MID(Tabelle2[[#This Row],[bnr full]],5,3)</f>
        <v>145</v>
      </c>
      <c r="AH179" s="265" t="str">
        <f>MID(Tabelle2[[#This Row],[bnr full]],8,3)</f>
        <v>218</v>
      </c>
      <c r="AI179" s="264" t="str">
        <f>MID(Tabelle2[[#This Row],[bnr full]],11,3)</f>
        <v>201</v>
      </c>
      <c r="AJ179" s="252" t="str">
        <f>MID(Tabelle2[[#This Row],[bnr full]],11,3)</f>
        <v>201</v>
      </c>
      <c r="AK179" s="197" t="s">
        <v>786</v>
      </c>
      <c r="AL179" s="124" t="str">
        <f ca="1">Sprache!$A$112</f>
        <v>Правый</v>
      </c>
      <c r="AM179" s="187" t="str">
        <f ca="1">Sprache!$A$134</f>
        <v>2 коленчатых подъемника</v>
      </c>
      <c r="AN179" s="187" t="str">
        <f ca="1">Sprache!$A$126</f>
        <v>Пружина, черная</v>
      </c>
      <c r="AO179" s="187" t="str">
        <f ca="1">Sprache!$A$148</f>
        <v>Коленчатый подъемник Kinvaro T-105, правый</v>
      </c>
      <c r="AP179" s="187" t="s">
        <v>817</v>
      </c>
      <c r="AQ179" s="187">
        <f>Limits!$K$9</f>
        <v>200</v>
      </c>
      <c r="AR179" s="124">
        <v>1200</v>
      </c>
      <c r="AS179" s="187" t="str">
        <f ca="1">CONCATENATE("TIOMOS 110° ",Sprache!$A$98)</f>
        <v>TIOMOS 110° Шарнир</v>
      </c>
      <c r="AT179" s="187" t="str">
        <f ca="1">CONCATENATE("1D° ",Sprache!$A$149)</f>
        <v>1D° Монтажная плита</v>
      </c>
    </row>
    <row r="180" spans="1:55" hidden="1" x14ac:dyDescent="0.25">
      <c r="A180" s="12" t="str">
        <f ca="1">IF(F180+G180+H180+I180+J180+D180+E180=3,IF(Tabelle2[[#This Row],[Kappe Weiß]]=Limits!$R$29,1,""),"")</f>
        <v/>
      </c>
      <c r="B180" s="12" t="str">
        <f ca="1">IF(G180+H180+I180+J180+E180+F180=2,IF(Tabelle2[[#This Row],[Kappe Weiß]]=Limits!$R$29,1,""),"")</f>
        <v/>
      </c>
      <c r="C180" s="291">
        <v>1</v>
      </c>
      <c r="D180" s="171">
        <f>IF(Limits!$P$12=TRUE,1,0)</f>
        <v>0</v>
      </c>
      <c r="E180" s="172">
        <f>IF(Daten!$P180+Daten!$Q180+Daten!$S180=3,1,0)</f>
        <v>0</v>
      </c>
      <c r="F180" s="173">
        <f ca="1">IF(AND(Limits!$Q$21=TRUE,Daten!O180=1)=TRUE,1,0)</f>
        <v>0</v>
      </c>
      <c r="G180" s="174">
        <f>IF(AND(Limits!$Q$25=TRUE,Daten!N180=1)=TRUE,1,0)</f>
        <v>0</v>
      </c>
      <c r="H180" s="174">
        <f>IF(AND(Limits!$Q$24=TRUE,Daten!M180=1)=TRUE,1,0)</f>
        <v>0</v>
      </c>
      <c r="I180" s="174">
        <f>IF(AND(Limits!$Q$23=TRUE,Daten!L180=1)=TRUE,1,0)</f>
        <v>0</v>
      </c>
      <c r="J180" s="174">
        <f>IF(AND(Limits!$Q$22=TRUE,Daten!K180=1)=TRUE,1,0)</f>
        <v>0</v>
      </c>
      <c r="K180" s="188">
        <f>IF(Daten!$V180=13,1,0)</f>
        <v>0</v>
      </c>
      <c r="L180" s="189">
        <f>IF(Daten!$V180&lt;&gt;Daten!$W180,1,IF(Daten!$V180=14,1,0))</f>
        <v>1</v>
      </c>
      <c r="M180" s="189">
        <f>IF(Daten!$V180&lt;&gt;Daten!$W180,1,IF(Daten!$V180=16,1,0))</f>
        <v>0</v>
      </c>
      <c r="N180" s="189">
        <f>IF(Daten!$W180=17,1,0)</f>
        <v>0</v>
      </c>
      <c r="O180" s="190">
        <f ca="1">IF(Daten!$X180=Sprache!$A$70,1,0)</f>
        <v>0</v>
      </c>
      <c r="P180" s="191">
        <f>IF(AND(Daten!$AQ180&lt;=KINVARO!$AW$3,Daten!$AR180&gt;=KINVARO!$AW$3)=TRUE,1,0)</f>
        <v>1</v>
      </c>
      <c r="Q180" s="192">
        <f>IF(AND(Daten!$AA180&lt;=KINVARO!$AW$4,Daten!$AB180&gt;=KINVARO!$AW$4)=TRUE,1,0)</f>
        <v>0</v>
      </c>
      <c r="R180" s="192"/>
      <c r="S180" s="192">
        <f>IF(AND(Daten!$AD180&lt;=Limits!$I$70,Daten!$AE180&gt;=Limits!$I$70)=TRUE,1,0)</f>
        <v>0</v>
      </c>
      <c r="T180" s="193">
        <f ca="1">IF(Daten!$Y180=Sprache!$A$135,1,0)</f>
        <v>0</v>
      </c>
      <c r="U180" s="124" t="str">
        <f ca="1">Sprache!$A$62</f>
        <v>T-105 Коленчатый подъемник</v>
      </c>
      <c r="V180" s="194">
        <v>14</v>
      </c>
      <c r="W180" s="193">
        <v>14</v>
      </c>
      <c r="X180" s="187" t="str">
        <f ca="1">Sprache!$A$141</f>
        <v>Alu</v>
      </c>
      <c r="Y180" s="187" t="str">
        <f ca="1">Sprache!$A$136</f>
        <v>nein</v>
      </c>
      <c r="Z180" s="187" t="str">
        <f ca="1">Sprache!$A$79</f>
        <v>Створка</v>
      </c>
      <c r="AA180" s="187">
        <v>350</v>
      </c>
      <c r="AB180" s="124">
        <v>399</v>
      </c>
      <c r="AC180" s="187"/>
      <c r="AD180" s="195">
        <v>2.6</v>
      </c>
      <c r="AE180" s="196">
        <v>8.1</v>
      </c>
      <c r="AF180" s="263" t="str">
        <f>MID(Tabelle2[[#This Row],[bnr full]],1,4)</f>
        <v>F151</v>
      </c>
      <c r="AG180" s="264" t="str">
        <f>MID(Tabelle2[[#This Row],[bnr full]],5,3)</f>
        <v>145</v>
      </c>
      <c r="AH180" s="265" t="str">
        <f>MID(Tabelle2[[#This Row],[bnr full]],8,3)</f>
        <v>214</v>
      </c>
      <c r="AI180" s="264" t="str">
        <f>MID(Tabelle2[[#This Row],[bnr full]],11,3)</f>
        <v>201</v>
      </c>
      <c r="AJ180" s="252" t="str">
        <f>MID(Tabelle2[[#This Row],[bnr full]],11,3)</f>
        <v>201</v>
      </c>
      <c r="AK180" s="197" t="s">
        <v>787</v>
      </c>
      <c r="AL180" s="124" t="str">
        <f ca="1">Sprache!$A$112</f>
        <v>Правый</v>
      </c>
      <c r="AM180" s="187" t="str">
        <f ca="1">Sprache!$A$134</f>
        <v>2 коленчатых подъемника</v>
      </c>
      <c r="AN180" s="187" t="str">
        <f ca="1">Sprache!$A$125</f>
        <v>Пружина, стандарт</v>
      </c>
      <c r="AO180" s="187" t="str">
        <f ca="1">Sprache!$A$148</f>
        <v>Коленчатый подъемник Kinvaro T-105, правый</v>
      </c>
      <c r="AP180" s="187" t="s">
        <v>818</v>
      </c>
      <c r="AQ180" s="187">
        <f>Limits!$K$9</f>
        <v>200</v>
      </c>
      <c r="AR180" s="124">
        <v>1200</v>
      </c>
      <c r="AS180" s="187" t="str">
        <f ca="1">CONCATENATE("TIOMOS 110° ",Sprache!$A$150)</f>
        <v>TIOMOS 110° Шарнир для алюминиевой рамки</v>
      </c>
      <c r="AT180" s="187" t="str">
        <f ca="1">CONCATENATE("1D° ",Sprache!$A$149)</f>
        <v>1D° Монтажная плита</v>
      </c>
      <c r="AU180"/>
      <c r="AV180"/>
      <c r="AY180"/>
      <c r="AZ180"/>
      <c r="BA180"/>
      <c r="BB180"/>
      <c r="BC180"/>
    </row>
    <row r="181" spans="1:55" hidden="1" x14ac:dyDescent="0.25">
      <c r="A181" s="12" t="str">
        <f ca="1">IF(F181+G181+H181+I181+J181+D181+E181=3,IF(Tabelle2[[#This Row],[Kappe Weiß]]=Limits!$R$29,1,""),"")</f>
        <v/>
      </c>
      <c r="B181" s="12" t="str">
        <f ca="1">IF(G181+H181+I181+J181+E181+F181=2,IF(Tabelle2[[#This Row],[Kappe Weiß]]=Limits!$R$29,1,""),"")</f>
        <v/>
      </c>
      <c r="C181" s="291">
        <v>1</v>
      </c>
      <c r="D181" s="171">
        <f>IF(Limits!$P$12=TRUE,1,0)</f>
        <v>0</v>
      </c>
      <c r="E181" s="172">
        <f>IF(Daten!$P181+Daten!$Q181+Daten!$S181=3,1,0)</f>
        <v>0</v>
      </c>
      <c r="F181" s="173">
        <f ca="1">IF(AND(Limits!$Q$21=TRUE,Daten!O181=1)=TRUE,1,0)</f>
        <v>0</v>
      </c>
      <c r="G181" s="174">
        <f>IF(AND(Limits!$Q$25=TRUE,Daten!N181=1)=TRUE,1,0)</f>
        <v>0</v>
      </c>
      <c r="H181" s="174">
        <f>IF(AND(Limits!$Q$24=TRUE,Daten!M181=1)=TRUE,1,0)</f>
        <v>0</v>
      </c>
      <c r="I181" s="174">
        <f>IF(AND(Limits!$Q$23=TRUE,Daten!L181=1)=TRUE,1,0)</f>
        <v>0</v>
      </c>
      <c r="J181" s="174">
        <f>IF(AND(Limits!$Q$22=TRUE,Daten!K181=1)=TRUE,1,0)</f>
        <v>0</v>
      </c>
      <c r="K181" s="188">
        <f>IF(Daten!$V181=13,1,0)</f>
        <v>0</v>
      </c>
      <c r="L181" s="189">
        <f>IF(Daten!$V181&lt;&gt;Daten!$W181,1,IF(Daten!$V181=14,1,0))</f>
        <v>0</v>
      </c>
      <c r="M181" s="189">
        <f>IF(Daten!$V181&lt;&gt;Daten!$W181,1,IF(Daten!$V181=16,1,0))</f>
        <v>1</v>
      </c>
      <c r="N181" s="189">
        <f>IF(Daten!$W181=17,1,0)</f>
        <v>0</v>
      </c>
      <c r="O181" s="190">
        <f ca="1">IF(Daten!$X181=Sprache!$A$70,1,0)</f>
        <v>0</v>
      </c>
      <c r="P181" s="191">
        <f>IF(AND(Daten!$AQ181&lt;=KINVARO!$AW$3,Daten!$AR181&gt;=KINVARO!$AW$3)=TRUE,1,0)</f>
        <v>1</v>
      </c>
      <c r="Q181" s="192">
        <f>IF(AND(Daten!$AA181&lt;=KINVARO!$AW$4,Daten!$AB181&gt;=KINVARO!$AW$4)=TRUE,1,0)</f>
        <v>0</v>
      </c>
      <c r="R181" s="192"/>
      <c r="S181" s="192">
        <f>IF(AND(Daten!$AD181&lt;=Limits!$I$70,Daten!$AE181&gt;=Limits!$I$70)=TRUE,1,0)</f>
        <v>0</v>
      </c>
      <c r="T181" s="193">
        <f ca="1">IF(Daten!$Y181=Sprache!$A$135,1,0)</f>
        <v>0</v>
      </c>
      <c r="U181" s="124" t="str">
        <f ca="1">Sprache!$A$62</f>
        <v>T-105 Коленчатый подъемник</v>
      </c>
      <c r="V181" s="194">
        <v>16</v>
      </c>
      <c r="W181" s="193">
        <v>16</v>
      </c>
      <c r="X181" s="187" t="str">
        <f ca="1">Sprache!$A$141</f>
        <v>Alu</v>
      </c>
      <c r="Y181" s="187" t="str">
        <f ca="1">Sprache!$A$136</f>
        <v>nein</v>
      </c>
      <c r="Z181" s="187" t="str">
        <f ca="1">Sprache!$A$79</f>
        <v>Створка</v>
      </c>
      <c r="AA181" s="187">
        <v>350</v>
      </c>
      <c r="AB181" s="124">
        <v>399</v>
      </c>
      <c r="AC181" s="187"/>
      <c r="AD181" s="195">
        <v>2.6</v>
      </c>
      <c r="AE181" s="196">
        <v>8.1</v>
      </c>
      <c r="AF181" s="263" t="str">
        <f>MID(Tabelle2[[#This Row],[bnr full]],1,4)</f>
        <v>F151</v>
      </c>
      <c r="AG181" s="264" t="str">
        <f>MID(Tabelle2[[#This Row],[bnr full]],5,3)</f>
        <v>145</v>
      </c>
      <c r="AH181" s="265" t="str">
        <f>MID(Tabelle2[[#This Row],[bnr full]],8,3)</f>
        <v>216</v>
      </c>
      <c r="AI181" s="264" t="str">
        <f>MID(Tabelle2[[#This Row],[bnr full]],11,3)</f>
        <v>201</v>
      </c>
      <c r="AJ181" s="252" t="str">
        <f>MID(Tabelle2[[#This Row],[bnr full]],11,3)</f>
        <v>201</v>
      </c>
      <c r="AK181" s="197" t="s">
        <v>788</v>
      </c>
      <c r="AL181" s="124" t="str">
        <f ca="1">Sprache!$A$112</f>
        <v>Правый</v>
      </c>
      <c r="AM181" s="187" t="str">
        <f ca="1">Sprache!$A$134</f>
        <v>2 коленчатых подъемника</v>
      </c>
      <c r="AN181" s="187" t="str">
        <f ca="1">Sprache!$A$125</f>
        <v>Пружина, стандарт</v>
      </c>
      <c r="AO181" s="187" t="str">
        <f ca="1">Sprache!$A$148</f>
        <v>Коленчатый подъемник Kinvaro T-105, правый</v>
      </c>
      <c r="AP181" s="187" t="s">
        <v>819</v>
      </c>
      <c r="AQ181" s="187">
        <f>Limits!$K$9</f>
        <v>200</v>
      </c>
      <c r="AR181" s="124">
        <v>1200</v>
      </c>
      <c r="AS181" s="187" t="str">
        <f ca="1">CONCATENATE("TIOMOS 110° ",Sprache!$A$150)</f>
        <v>TIOMOS 110° Шарнир для алюминиевой рамки</v>
      </c>
      <c r="AT181" s="187" t="str">
        <f ca="1">CONCATENATE("1D° ",Sprache!$A$149)</f>
        <v>1D° Монтажная плита</v>
      </c>
      <c r="AU181"/>
      <c r="AV181"/>
      <c r="AY181"/>
      <c r="AZ181"/>
      <c r="BA181"/>
      <c r="BB181"/>
      <c r="BC181"/>
    </row>
    <row r="182" spans="1:55" hidden="1" x14ac:dyDescent="0.25">
      <c r="A182" s="12" t="str">
        <f ca="1">IF(F182+G182+H182+I182+J182+D182+E182=3,IF(Tabelle2[[#This Row],[Kappe Weiß]]=Limits!$R$29,1,""),"")</f>
        <v/>
      </c>
      <c r="B182" s="12" t="str">
        <f ca="1">IF(G182+H182+I182+J182+E182+F182=2,IF(Tabelle2[[#This Row],[Kappe Weiß]]=Limits!$R$29,1,""),"")</f>
        <v/>
      </c>
      <c r="C182" s="292">
        <v>1</v>
      </c>
      <c r="D182" s="171">
        <f>IF(Limits!$P$12=TRUE,1,0)</f>
        <v>0</v>
      </c>
      <c r="E182" s="172">
        <f>IF(Daten!$P182+Daten!$Q182+Daten!$S182=3,1,0)</f>
        <v>0</v>
      </c>
      <c r="F182" s="173">
        <f ca="1">IF(AND(Limits!$Q$21=TRUE,Daten!O182=1)=TRUE,1,0)</f>
        <v>1</v>
      </c>
      <c r="G182" s="174">
        <f ca="1">IF(AND(Limits!$Q$25=TRUE,Daten!N182=1)=TRUE,1,0)</f>
        <v>0</v>
      </c>
      <c r="H182" s="174">
        <f ca="1">IF(AND(Limits!$Q$24=TRUE,Daten!M182=1)=TRUE,1,0)</f>
        <v>0</v>
      </c>
      <c r="I182" s="174">
        <f ca="1">IF(AND(Limits!$Q$23=TRUE,Daten!L182=1)=TRUE,1,0)</f>
        <v>0</v>
      </c>
      <c r="J182" s="174">
        <f ca="1">IF(AND(Limits!$Q$22=TRUE,Daten!K182=1)=TRUE,1,0)</f>
        <v>0</v>
      </c>
      <c r="K182" s="188">
        <f ca="1">IF(Daten!$V182=13,1,0)</f>
        <v>0</v>
      </c>
      <c r="L182" s="189">
        <f ca="1">IF(Daten!$V182&lt;&gt;Daten!$W182,1,IF(Daten!$V182=14,1,0))</f>
        <v>0</v>
      </c>
      <c r="M182" s="189">
        <f ca="1">IF(Daten!$V182&lt;&gt;Daten!$W182,1,IF(Daten!$V182=16,1,0))</f>
        <v>0</v>
      </c>
      <c r="N182" s="189">
        <f ca="1">IF(Daten!$W182=17,1,0)</f>
        <v>0</v>
      </c>
      <c r="O182" s="190">
        <f ca="1">IF(Daten!$X182=Sprache!$A$70,1,0)</f>
        <v>1</v>
      </c>
      <c r="P182" s="198">
        <f>IF(AND(Daten!$AQ182&lt;=KINVARO!$AW$3,Daten!$AR182&gt;=KINVARO!$AW$3)=TRUE,1,0)</f>
        <v>1</v>
      </c>
      <c r="Q182" s="199">
        <f>IF(AND(Daten!$AA182&lt;=KINVARO!$AW$4,Daten!$AB182&gt;=KINVARO!$AW$4)=TRUE,1,0)</f>
        <v>0</v>
      </c>
      <c r="R182" s="199"/>
      <c r="S182" s="199">
        <f>IF(AND(Daten!$AD182&lt;=Limits!$I$70,Daten!$AE182&gt;=Limits!$I$70)=TRUE,1,0)</f>
        <v>0</v>
      </c>
      <c r="T182" s="200">
        <f ca="1">IF(Daten!$Y182=Sprache!$A$135,1,0)</f>
        <v>0</v>
      </c>
      <c r="U182" s="201" t="str">
        <f ca="1">Sprache!$A$62</f>
        <v>T-105 Коленчатый подъемник</v>
      </c>
      <c r="V182" s="202" t="str">
        <f ca="1">Sprache!$A$74</f>
        <v>var</v>
      </c>
      <c r="W182" s="200" t="str">
        <f ca="1">Sprache!$A$74</f>
        <v>var</v>
      </c>
      <c r="X182" s="203" t="str">
        <f ca="1">Sprache!$A$70</f>
        <v>соединение с древесиной</v>
      </c>
      <c r="Y182" s="187" t="str">
        <f ca="1">Sprache!$A$136</f>
        <v>nein</v>
      </c>
      <c r="Z182" s="203" t="str">
        <f ca="1">Sprache!$A$79</f>
        <v>Створка</v>
      </c>
      <c r="AA182" s="203">
        <v>400</v>
      </c>
      <c r="AB182" s="201">
        <v>449</v>
      </c>
      <c r="AC182" s="203"/>
      <c r="AD182" s="204">
        <v>1.3</v>
      </c>
      <c r="AE182" s="205">
        <v>3.4</v>
      </c>
      <c r="AF182" s="266" t="str">
        <f>MID(Tabelle2[[#This Row],[bnr full]],1,4)</f>
        <v>F151</v>
      </c>
      <c r="AG182" s="267" t="str">
        <f>MID(Tabelle2[[#This Row],[bnr full]],5,3)</f>
        <v>145</v>
      </c>
      <c r="AH182" s="268" t="str">
        <f>MID(Tabelle2[[#This Row],[bnr full]],8,3)</f>
        <v>220</v>
      </c>
      <c r="AI182" s="267" t="str">
        <f>MID(Tabelle2[[#This Row],[bnr full]],11,3)</f>
        <v>201</v>
      </c>
      <c r="AJ182" s="253" t="str">
        <f>MID(Tabelle2[[#This Row],[bnr full]],11,3)</f>
        <v>201</v>
      </c>
      <c r="AK182" s="206" t="s">
        <v>785</v>
      </c>
      <c r="AL182" s="201" t="str">
        <f ca="1">Sprache!$A$112</f>
        <v>Правый</v>
      </c>
      <c r="AM182" s="203" t="str">
        <f ca="1">Sprache!$A$133</f>
        <v>1 коленчатый подъемник</v>
      </c>
      <c r="AN182" s="203" t="str">
        <f ca="1">Sprache!$A$125</f>
        <v>Пружина, стандарт</v>
      </c>
      <c r="AO182" s="203" t="str">
        <f ca="1">Sprache!$A$148</f>
        <v>Коленчатый подъемник Kinvaro T-105, правый</v>
      </c>
      <c r="AP182" s="203" t="s">
        <v>816</v>
      </c>
      <c r="AQ182" s="203">
        <f>Limits!$K$9</f>
        <v>200</v>
      </c>
      <c r="AR182" s="201">
        <v>1200</v>
      </c>
      <c r="AS182" s="187" t="str">
        <f ca="1">CONCATENATE("TIOMOS 110° ",Sprache!$A$98)</f>
        <v>TIOMOS 110° Шарнир</v>
      </c>
      <c r="AT182" s="187" t="str">
        <f ca="1">CONCATENATE("1D° ",Sprache!$A$149)</f>
        <v>1D° Монтажная плита</v>
      </c>
      <c r="AU182"/>
      <c r="AV182"/>
      <c r="AY182"/>
      <c r="AZ182"/>
      <c r="BA182"/>
      <c r="BB182"/>
      <c r="BC182"/>
    </row>
    <row r="183" spans="1:55" s="5" customFormat="1" hidden="1" x14ac:dyDescent="0.25">
      <c r="A183" s="12" t="str">
        <f ca="1">IF(F183+G183+H183+I183+J183+D183+E183=3,IF(Tabelle2[[#This Row],[Kappe Weiß]]=Limits!$R$29,1,""),"")</f>
        <v/>
      </c>
      <c r="B183" s="12" t="str">
        <f ca="1">IF(G183+H183+I183+J183+E183+F183=2,IF(Tabelle2[[#This Row],[Kappe Weiß]]=Limits!$R$29,1,""),"")</f>
        <v/>
      </c>
      <c r="C183" s="291">
        <v>1</v>
      </c>
      <c r="D183" s="171">
        <f>IF(Limits!$P$12=TRUE,1,0)</f>
        <v>0</v>
      </c>
      <c r="E183" s="172">
        <f>IF(Daten!$P183+Daten!$Q183+Daten!$S183=3,1,0)</f>
        <v>0</v>
      </c>
      <c r="F183" s="173">
        <f ca="1">IF(AND(Limits!$Q$21=TRUE,Daten!O183=1)=TRUE,1,0)</f>
        <v>1</v>
      </c>
      <c r="G183" s="174">
        <f ca="1">IF(AND(Limits!$Q$25=TRUE,Daten!N183=1)=TRUE,1,0)</f>
        <v>0</v>
      </c>
      <c r="H183" s="174">
        <f ca="1">IF(AND(Limits!$Q$24=TRUE,Daten!M183=1)=TRUE,1,0)</f>
        <v>0</v>
      </c>
      <c r="I183" s="174">
        <f ca="1">IF(AND(Limits!$Q$23=TRUE,Daten!L183=1)=TRUE,1,0)</f>
        <v>0</v>
      </c>
      <c r="J183" s="174">
        <f ca="1">IF(AND(Limits!$Q$22=TRUE,Daten!K183=1)=TRUE,1,0)</f>
        <v>0</v>
      </c>
      <c r="K183" s="188">
        <f ca="1">IF(Daten!$V183=13,1,0)</f>
        <v>0</v>
      </c>
      <c r="L183" s="189">
        <f ca="1">IF(Daten!$V183&lt;&gt;Daten!$W183,1,IF(Daten!$V183=14,1,0))</f>
        <v>0</v>
      </c>
      <c r="M183" s="189">
        <f ca="1">IF(Daten!$V183&lt;&gt;Daten!$W183,1,IF(Daten!$V183=16,1,0))</f>
        <v>0</v>
      </c>
      <c r="N183" s="189">
        <f ca="1">IF(Daten!$W183=17,1,0)</f>
        <v>0</v>
      </c>
      <c r="O183" s="190">
        <f ca="1">IF(Daten!$X183=Sprache!$A$70,1,0)</f>
        <v>1</v>
      </c>
      <c r="P183" s="191">
        <f>IF(AND(Daten!$AQ183&lt;=KINVARO!$AW$3,Daten!$AR183&gt;=KINVARO!$AW$3)=TRUE,1,0)</f>
        <v>1</v>
      </c>
      <c r="Q183" s="192">
        <f>IF(AND(Daten!$AA183&lt;=KINVARO!$AW$4,Daten!$AB183&gt;=KINVARO!$AW$4)=TRUE,1,0)</f>
        <v>0</v>
      </c>
      <c r="R183" s="192"/>
      <c r="S183" s="192">
        <f>IF(AND(Daten!$AD183&lt;=Limits!$I$70,Daten!$AE183&gt;=Limits!$I$70)=TRUE,1,0)</f>
        <v>0</v>
      </c>
      <c r="T183" s="193">
        <f ca="1">IF(Daten!$Y183=Sprache!$A$135,1,0)</f>
        <v>0</v>
      </c>
      <c r="U183" s="124" t="str">
        <f ca="1">Sprache!$A$62</f>
        <v>T-105 Коленчатый подъемник</v>
      </c>
      <c r="V183" s="194" t="str">
        <f ca="1">Sprache!$A$74</f>
        <v>var</v>
      </c>
      <c r="W183" s="193" t="str">
        <f ca="1">Sprache!$A$74</f>
        <v>var</v>
      </c>
      <c r="X183" s="187" t="str">
        <f ca="1">Sprache!$A$70</f>
        <v>соединение с древесиной</v>
      </c>
      <c r="Y183" s="187" t="str">
        <f ca="1">Sprache!$A$136</f>
        <v>nein</v>
      </c>
      <c r="Z183" s="187" t="str">
        <f ca="1">Sprache!$A$79</f>
        <v>Створка</v>
      </c>
      <c r="AA183" s="187">
        <v>400</v>
      </c>
      <c r="AB183" s="124">
        <v>449</v>
      </c>
      <c r="AC183" s="187"/>
      <c r="AD183" s="195">
        <v>2.2000000000000002</v>
      </c>
      <c r="AE183" s="196">
        <v>4</v>
      </c>
      <c r="AF183" s="263" t="str">
        <f>MID(Tabelle2[[#This Row],[bnr full]],1,4)</f>
        <v>F151</v>
      </c>
      <c r="AG183" s="264" t="str">
        <f>MID(Tabelle2[[#This Row],[bnr full]],5,3)</f>
        <v>145</v>
      </c>
      <c r="AH183" s="265" t="str">
        <f>MID(Tabelle2[[#This Row],[bnr full]],8,3)</f>
        <v>218</v>
      </c>
      <c r="AI183" s="264" t="str">
        <f>MID(Tabelle2[[#This Row],[bnr full]],11,3)</f>
        <v>201</v>
      </c>
      <c r="AJ183" s="252" t="str">
        <f>MID(Tabelle2[[#This Row],[bnr full]],11,3)</f>
        <v>201</v>
      </c>
      <c r="AK183" s="197" t="s">
        <v>786</v>
      </c>
      <c r="AL183" s="124" t="str">
        <f ca="1">Sprache!$A$112</f>
        <v>Правый</v>
      </c>
      <c r="AM183" s="187" t="str">
        <f ca="1">Sprache!$A$133</f>
        <v>1 коленчатый подъемник</v>
      </c>
      <c r="AN183" s="187" t="str">
        <f ca="1">Sprache!$A$126</f>
        <v>Пружина, черная</v>
      </c>
      <c r="AO183" s="187" t="str">
        <f ca="1">Sprache!$A$148</f>
        <v>Коленчатый подъемник Kinvaro T-105, правый</v>
      </c>
      <c r="AP183" s="187" t="s">
        <v>817</v>
      </c>
      <c r="AQ183" s="187">
        <f>Limits!$K$9</f>
        <v>200</v>
      </c>
      <c r="AR183" s="124">
        <v>1200</v>
      </c>
      <c r="AS183" s="187" t="str">
        <f ca="1">CONCATENATE("TIOMOS 110° ",Sprache!$A$98)</f>
        <v>TIOMOS 110° Шарнир</v>
      </c>
      <c r="AT183" s="187" t="str">
        <f ca="1">CONCATENATE("1D° ",Sprache!$A$149)</f>
        <v>1D° Монтажная плита</v>
      </c>
    </row>
    <row r="184" spans="1:55" hidden="1" x14ac:dyDescent="0.25">
      <c r="A184" s="12" t="str">
        <f ca="1">IF(F184+G184+H184+I184+J184+D184+E184=3,IF(Tabelle2[[#This Row],[Kappe Weiß]]=Limits!$R$29,1,""),"")</f>
        <v/>
      </c>
      <c r="B184" s="12" t="str">
        <f ca="1">IF(G184+H184+I184+J184+E184+F184=2,IF(Tabelle2[[#This Row],[Kappe Weiß]]=Limits!$R$29,1,""),"")</f>
        <v/>
      </c>
      <c r="C184" s="291">
        <v>1</v>
      </c>
      <c r="D184" s="171">
        <f>IF(Limits!$P$12=TRUE,1,0)</f>
        <v>0</v>
      </c>
      <c r="E184" s="172">
        <f>IF(Daten!$P184+Daten!$Q184+Daten!$S184=3,1,0)</f>
        <v>0</v>
      </c>
      <c r="F184" s="173">
        <f ca="1">IF(AND(Limits!$Q$21=TRUE,Daten!O184=1)=TRUE,1,0)</f>
        <v>0</v>
      </c>
      <c r="G184" s="174">
        <f>IF(AND(Limits!$Q$25=TRUE,Daten!N184=1)=TRUE,1,0)</f>
        <v>0</v>
      </c>
      <c r="H184" s="174">
        <f>IF(AND(Limits!$Q$24=TRUE,Daten!M184=1)=TRUE,1,0)</f>
        <v>0</v>
      </c>
      <c r="I184" s="174">
        <f>IF(AND(Limits!$Q$23=TRUE,Daten!L184=1)=TRUE,1,0)</f>
        <v>0</v>
      </c>
      <c r="J184" s="174">
        <f>IF(AND(Limits!$Q$22=TRUE,Daten!K184=1)=TRUE,1,0)</f>
        <v>0</v>
      </c>
      <c r="K184" s="188">
        <f>IF(Daten!$V184=13,1,0)</f>
        <v>0</v>
      </c>
      <c r="L184" s="189">
        <f>IF(Daten!$V184&lt;&gt;Daten!$W184,1,IF(Daten!$V184=14,1,0))</f>
        <v>1</v>
      </c>
      <c r="M184" s="189">
        <f>IF(Daten!$V184&lt;&gt;Daten!$W184,1,IF(Daten!$V184=16,1,0))</f>
        <v>0</v>
      </c>
      <c r="N184" s="189">
        <f>IF(Daten!$W184=17,1,0)</f>
        <v>0</v>
      </c>
      <c r="O184" s="190">
        <f ca="1">IF(Daten!$X184=Sprache!$A$70,1,0)</f>
        <v>0</v>
      </c>
      <c r="P184" s="191">
        <f>IF(AND(Daten!$AQ184&lt;=KINVARO!$AW$3,Daten!$AR184&gt;=KINVARO!$AW$3)=TRUE,1,0)</f>
        <v>1</v>
      </c>
      <c r="Q184" s="192">
        <f>IF(AND(Daten!$AA184&lt;=KINVARO!$AW$4,Daten!$AB184&gt;=KINVARO!$AW$4)=TRUE,1,0)</f>
        <v>0</v>
      </c>
      <c r="R184" s="192"/>
      <c r="S184" s="192">
        <f>IF(AND(Daten!$AD184&lt;=Limits!$I$70,Daten!$AE184&gt;=Limits!$I$70)=TRUE,1,0)</f>
        <v>0</v>
      </c>
      <c r="T184" s="193">
        <f ca="1">IF(Daten!$Y184=Sprache!$A$135,1,0)</f>
        <v>0</v>
      </c>
      <c r="U184" s="124" t="str">
        <f ca="1">Sprache!$A$62</f>
        <v>T-105 Коленчатый подъемник</v>
      </c>
      <c r="V184" s="194">
        <v>14</v>
      </c>
      <c r="W184" s="193">
        <v>14</v>
      </c>
      <c r="X184" s="187" t="str">
        <f ca="1">Sprache!$A$141</f>
        <v>Alu</v>
      </c>
      <c r="Y184" s="187" t="str">
        <f ca="1">Sprache!$A$136</f>
        <v>nein</v>
      </c>
      <c r="Z184" s="187" t="str">
        <f ca="1">Sprache!$A$79</f>
        <v>Створка</v>
      </c>
      <c r="AA184" s="187">
        <v>400</v>
      </c>
      <c r="AB184" s="124">
        <v>449</v>
      </c>
      <c r="AC184" s="187"/>
      <c r="AD184" s="195">
        <v>1.3</v>
      </c>
      <c r="AE184" s="196">
        <v>3.4</v>
      </c>
      <c r="AF184" s="263" t="str">
        <f>MID(Tabelle2[[#This Row],[bnr full]],1,4)</f>
        <v>F151</v>
      </c>
      <c r="AG184" s="264" t="str">
        <f>MID(Tabelle2[[#This Row],[bnr full]],5,3)</f>
        <v>145</v>
      </c>
      <c r="AH184" s="265" t="str">
        <f>MID(Tabelle2[[#This Row],[bnr full]],8,3)</f>
        <v>214</v>
      </c>
      <c r="AI184" s="264" t="str">
        <f>MID(Tabelle2[[#This Row],[bnr full]],11,3)</f>
        <v>201</v>
      </c>
      <c r="AJ184" s="252" t="str">
        <f>MID(Tabelle2[[#This Row],[bnr full]],11,3)</f>
        <v>201</v>
      </c>
      <c r="AK184" s="197" t="s">
        <v>787</v>
      </c>
      <c r="AL184" s="124" t="str">
        <f ca="1">Sprache!$A$112</f>
        <v>Правый</v>
      </c>
      <c r="AM184" s="187" t="str">
        <f ca="1">Sprache!$A$133</f>
        <v>1 коленчатый подъемник</v>
      </c>
      <c r="AN184" s="187" t="str">
        <f ca="1">Sprache!$A$125</f>
        <v>Пружина, стандарт</v>
      </c>
      <c r="AO184" s="187" t="str">
        <f ca="1">Sprache!$A$148</f>
        <v>Коленчатый подъемник Kinvaro T-105, правый</v>
      </c>
      <c r="AP184" s="187" t="s">
        <v>818</v>
      </c>
      <c r="AQ184" s="187">
        <f>Limits!$K$9</f>
        <v>200</v>
      </c>
      <c r="AR184" s="124">
        <v>1200</v>
      </c>
      <c r="AS184" s="187" t="str">
        <f ca="1">CONCATENATE("TIOMOS 110° ",Sprache!$A$150)</f>
        <v>TIOMOS 110° Шарнир для алюминиевой рамки</v>
      </c>
      <c r="AT184" s="187" t="str">
        <f ca="1">CONCATENATE("1D° ",Sprache!$A$149)</f>
        <v>1D° Монтажная плита</v>
      </c>
      <c r="AU184"/>
      <c r="AV184"/>
      <c r="AY184"/>
      <c r="AZ184"/>
      <c r="BA184"/>
      <c r="BB184"/>
      <c r="BC184"/>
    </row>
    <row r="185" spans="1:55" hidden="1" x14ac:dyDescent="0.25">
      <c r="A185" s="12" t="str">
        <f ca="1">IF(F185+G185+H185+I185+J185+D185+E185=3,IF(Tabelle2[[#This Row],[Kappe Weiß]]=Limits!$R$29,1,""),"")</f>
        <v/>
      </c>
      <c r="B185" s="12" t="str">
        <f ca="1">IF(G185+H185+I185+J185+E185+F185=2,IF(Tabelle2[[#This Row],[Kappe Weiß]]=Limits!$R$29,1,""),"")</f>
        <v/>
      </c>
      <c r="C185" s="291">
        <v>1</v>
      </c>
      <c r="D185" s="171">
        <f>IF(Limits!$P$12=TRUE,1,0)</f>
        <v>0</v>
      </c>
      <c r="E185" s="172">
        <f>IF(Daten!$P185+Daten!$Q185+Daten!$S185=3,1,0)</f>
        <v>0</v>
      </c>
      <c r="F185" s="173">
        <f ca="1">IF(AND(Limits!$Q$21=TRUE,Daten!O185=1)=TRUE,1,0)</f>
        <v>0</v>
      </c>
      <c r="G185" s="174">
        <f>IF(AND(Limits!$Q$25=TRUE,Daten!N185=1)=TRUE,1,0)</f>
        <v>0</v>
      </c>
      <c r="H185" s="174">
        <f>IF(AND(Limits!$Q$24=TRUE,Daten!M185=1)=TRUE,1,0)</f>
        <v>0</v>
      </c>
      <c r="I185" s="174">
        <f>IF(AND(Limits!$Q$23=TRUE,Daten!L185=1)=TRUE,1,0)</f>
        <v>0</v>
      </c>
      <c r="J185" s="174">
        <f>IF(AND(Limits!$Q$22=TRUE,Daten!K185=1)=TRUE,1,0)</f>
        <v>0</v>
      </c>
      <c r="K185" s="188">
        <f>IF(Daten!$V185=13,1,0)</f>
        <v>0</v>
      </c>
      <c r="L185" s="189">
        <f>IF(Daten!$V185&lt;&gt;Daten!$W185,1,IF(Daten!$V185=14,1,0))</f>
        <v>0</v>
      </c>
      <c r="M185" s="189">
        <f>IF(Daten!$V185&lt;&gt;Daten!$W185,1,IF(Daten!$V185=16,1,0))</f>
        <v>1</v>
      </c>
      <c r="N185" s="189">
        <f>IF(Daten!$W185=17,1,0)</f>
        <v>0</v>
      </c>
      <c r="O185" s="190">
        <f ca="1">IF(Daten!$X185=Sprache!$A$70,1,0)</f>
        <v>0</v>
      </c>
      <c r="P185" s="191">
        <f>IF(AND(Daten!$AQ185&lt;=KINVARO!$AW$3,Daten!$AR185&gt;=KINVARO!$AW$3)=TRUE,1,0)</f>
        <v>1</v>
      </c>
      <c r="Q185" s="192">
        <f>IF(AND(Daten!$AA185&lt;=KINVARO!$AW$4,Daten!$AB185&gt;=KINVARO!$AW$4)=TRUE,1,0)</f>
        <v>0</v>
      </c>
      <c r="R185" s="192"/>
      <c r="S185" s="192">
        <f>IF(AND(Daten!$AD185&lt;=Limits!$I$70,Daten!$AE185&gt;=Limits!$I$70)=TRUE,1,0)</f>
        <v>0</v>
      </c>
      <c r="T185" s="193">
        <f ca="1">IF(Daten!$Y185=Sprache!$A$135,1,0)</f>
        <v>0</v>
      </c>
      <c r="U185" s="124" t="str">
        <f ca="1">Sprache!$A$62</f>
        <v>T-105 Коленчатый подъемник</v>
      </c>
      <c r="V185" s="194">
        <v>16</v>
      </c>
      <c r="W185" s="193">
        <v>16</v>
      </c>
      <c r="X185" s="187" t="str">
        <f ca="1">Sprache!$A$141</f>
        <v>Alu</v>
      </c>
      <c r="Y185" s="187" t="str">
        <f ca="1">Sprache!$A$136</f>
        <v>nein</v>
      </c>
      <c r="Z185" s="187" t="str">
        <f ca="1">Sprache!$A$79</f>
        <v>Створка</v>
      </c>
      <c r="AA185" s="187">
        <v>400</v>
      </c>
      <c r="AB185" s="124">
        <v>449</v>
      </c>
      <c r="AC185" s="187"/>
      <c r="AD185" s="195">
        <v>1.3</v>
      </c>
      <c r="AE185" s="196">
        <v>3.4</v>
      </c>
      <c r="AF185" s="263" t="str">
        <f>MID(Tabelle2[[#This Row],[bnr full]],1,4)</f>
        <v>F151</v>
      </c>
      <c r="AG185" s="264" t="str">
        <f>MID(Tabelle2[[#This Row],[bnr full]],5,3)</f>
        <v>145</v>
      </c>
      <c r="AH185" s="265" t="str">
        <f>MID(Tabelle2[[#This Row],[bnr full]],8,3)</f>
        <v>216</v>
      </c>
      <c r="AI185" s="264" t="str">
        <f>MID(Tabelle2[[#This Row],[bnr full]],11,3)</f>
        <v>201</v>
      </c>
      <c r="AJ185" s="252" t="str">
        <f>MID(Tabelle2[[#This Row],[bnr full]],11,3)</f>
        <v>201</v>
      </c>
      <c r="AK185" s="197" t="s">
        <v>788</v>
      </c>
      <c r="AL185" s="124" t="str">
        <f ca="1">Sprache!$A$112</f>
        <v>Правый</v>
      </c>
      <c r="AM185" s="187" t="str">
        <f ca="1">Sprache!$A$133</f>
        <v>1 коленчатый подъемник</v>
      </c>
      <c r="AN185" s="187" t="str">
        <f ca="1">Sprache!$A$125</f>
        <v>Пружина, стандарт</v>
      </c>
      <c r="AO185" s="187" t="str">
        <f ca="1">Sprache!$A$148</f>
        <v>Коленчатый подъемник Kinvaro T-105, правый</v>
      </c>
      <c r="AP185" s="187" t="s">
        <v>819</v>
      </c>
      <c r="AQ185" s="187">
        <f>Limits!$K$9</f>
        <v>200</v>
      </c>
      <c r="AR185" s="124">
        <v>1200</v>
      </c>
      <c r="AS185" s="187" t="str">
        <f ca="1">CONCATENATE("TIOMOS 110° ",Sprache!$A$150)</f>
        <v>TIOMOS 110° Шарнир для алюминиевой рамки</v>
      </c>
      <c r="AT185" s="187" t="str">
        <f ca="1">CONCATENATE("1D° ",Sprache!$A$149)</f>
        <v>1D° Монтажная плита</v>
      </c>
      <c r="AU185"/>
      <c r="AV185"/>
      <c r="AY185"/>
      <c r="AZ185"/>
      <c r="BA185"/>
      <c r="BB185"/>
      <c r="BC185"/>
    </row>
    <row r="186" spans="1:55" hidden="1" x14ac:dyDescent="0.25">
      <c r="A186" s="12" t="str">
        <f ca="1">IF(F186+G186+H186+I186+J186+D186+E186=3,IF(Tabelle2[[#This Row],[Kappe Weiß]]=Limits!$R$29,1,""),"")</f>
        <v/>
      </c>
      <c r="B186" s="12" t="str">
        <f ca="1">IF(G186+H186+I186+J186+E186+F186=2,IF(Tabelle2[[#This Row],[Kappe Weiß]]=Limits!$R$29,1,""),"")</f>
        <v/>
      </c>
      <c r="C186" s="291">
        <v>1</v>
      </c>
      <c r="D186" s="171">
        <f>IF(Limits!$P$12=TRUE,1,0)</f>
        <v>0</v>
      </c>
      <c r="E186" s="172">
        <f>IF(Daten!$P186+Daten!$Q186+Daten!$S186=3,1,0)</f>
        <v>0</v>
      </c>
      <c r="F186" s="173">
        <f ca="1">IF(AND(Limits!$Q$21=TRUE,Daten!O186=1)=TRUE,1,0)</f>
        <v>1</v>
      </c>
      <c r="G186" s="174">
        <f ca="1">IF(AND(Limits!$Q$25=TRUE,Daten!N186=1)=TRUE,1,0)</f>
        <v>0</v>
      </c>
      <c r="H186" s="174">
        <f ca="1">IF(AND(Limits!$Q$24=TRUE,Daten!M186=1)=TRUE,1,0)</f>
        <v>0</v>
      </c>
      <c r="I186" s="174">
        <f ca="1">IF(AND(Limits!$Q$23=TRUE,Daten!L186=1)=TRUE,1,0)</f>
        <v>0</v>
      </c>
      <c r="J186" s="174">
        <f ca="1">IF(AND(Limits!$Q$22=TRUE,Daten!K186=1)=TRUE,1,0)</f>
        <v>0</v>
      </c>
      <c r="K186" s="188">
        <f ca="1">IF(Daten!$V186=13,1,0)</f>
        <v>0</v>
      </c>
      <c r="L186" s="189">
        <f ca="1">IF(Daten!$V186&lt;&gt;Daten!$W186,1,IF(Daten!$V186=14,1,0))</f>
        <v>0</v>
      </c>
      <c r="M186" s="189">
        <f ca="1">IF(Daten!$V186&lt;&gt;Daten!$W186,1,IF(Daten!$V186=16,1,0))</f>
        <v>0</v>
      </c>
      <c r="N186" s="189">
        <f ca="1">IF(Daten!$W186=17,1,0)</f>
        <v>0</v>
      </c>
      <c r="O186" s="190">
        <f ca="1">IF(Daten!$X186=Sprache!$A$70,1,0)</f>
        <v>1</v>
      </c>
      <c r="P186" s="191">
        <f>IF(AND(Daten!$AQ186&lt;=KINVARO!$AW$3,Daten!$AR186&gt;=KINVARO!$AW$3)=TRUE,1,0)</f>
        <v>1</v>
      </c>
      <c r="Q186" s="192">
        <f>IF(AND(Daten!$AA186&lt;=KINVARO!$AW$4,Daten!$AB186&gt;=KINVARO!$AW$4)=TRUE,1,0)</f>
        <v>0</v>
      </c>
      <c r="R186" s="192"/>
      <c r="S186" s="192">
        <f>IF(AND(Daten!$AD186&lt;=Limits!$I$70,Daten!$AE186&gt;=Limits!$I$70)=TRUE,1,0)</f>
        <v>0</v>
      </c>
      <c r="T186" s="193">
        <f ca="1">IF(Daten!$Y186=Sprache!$A$135,1,0)</f>
        <v>0</v>
      </c>
      <c r="U186" s="124" t="str">
        <f ca="1">Sprache!$A$62</f>
        <v>T-105 Коленчатый подъемник</v>
      </c>
      <c r="V186" s="194" t="str">
        <f ca="1">Sprache!$A$74</f>
        <v>var</v>
      </c>
      <c r="W186" s="193" t="str">
        <f ca="1">Sprache!$A$74</f>
        <v>var</v>
      </c>
      <c r="X186" s="187" t="str">
        <f ca="1">Sprache!$A$70</f>
        <v>соединение с древесиной</v>
      </c>
      <c r="Y186" s="187" t="str">
        <f ca="1">Sprache!$A$136</f>
        <v>nein</v>
      </c>
      <c r="Z186" s="187" t="str">
        <f ca="1">Sprache!$A$79</f>
        <v>Створка</v>
      </c>
      <c r="AA186" s="187">
        <v>400</v>
      </c>
      <c r="AB186" s="124">
        <v>449</v>
      </c>
      <c r="AC186" s="187"/>
      <c r="AD186" s="195">
        <v>2.6</v>
      </c>
      <c r="AE186" s="196">
        <v>6.8</v>
      </c>
      <c r="AF186" s="263" t="str">
        <f>MID(Tabelle2[[#This Row],[bnr full]],1,4)</f>
        <v>F151</v>
      </c>
      <c r="AG186" s="264" t="str">
        <f>MID(Tabelle2[[#This Row],[bnr full]],5,3)</f>
        <v>145</v>
      </c>
      <c r="AH186" s="265" t="str">
        <f>MID(Tabelle2[[#This Row],[bnr full]],8,3)</f>
        <v>220</v>
      </c>
      <c r="AI186" s="264" t="str">
        <f>MID(Tabelle2[[#This Row],[bnr full]],11,3)</f>
        <v>201</v>
      </c>
      <c r="AJ186" s="252" t="str">
        <f>MID(Tabelle2[[#This Row],[bnr full]],11,3)</f>
        <v>201</v>
      </c>
      <c r="AK186" s="197" t="s">
        <v>785</v>
      </c>
      <c r="AL186" s="124" t="str">
        <f ca="1">Sprache!$A$112</f>
        <v>Правый</v>
      </c>
      <c r="AM186" s="187" t="str">
        <f ca="1">Sprache!$A$134</f>
        <v>2 коленчатых подъемника</v>
      </c>
      <c r="AN186" s="187" t="str">
        <f ca="1">Sprache!$A$125</f>
        <v>Пружина, стандарт</v>
      </c>
      <c r="AO186" s="187" t="str">
        <f ca="1">Sprache!$A$148</f>
        <v>Коленчатый подъемник Kinvaro T-105, правый</v>
      </c>
      <c r="AP186" s="187" t="s">
        <v>816</v>
      </c>
      <c r="AQ186" s="187">
        <f>Limits!$K$9</f>
        <v>200</v>
      </c>
      <c r="AR186" s="124">
        <v>1200</v>
      </c>
      <c r="AS186" s="187" t="str">
        <f ca="1">CONCATENATE("TIOMOS 110° ",Sprache!$A$98)</f>
        <v>TIOMOS 110° Шарнир</v>
      </c>
      <c r="AT186" s="187" t="str">
        <f ca="1">CONCATENATE("1D° ",Sprache!$A$149)</f>
        <v>1D° Монтажная плита</v>
      </c>
      <c r="AU186"/>
      <c r="AV186"/>
      <c r="AY186"/>
      <c r="AZ186"/>
      <c r="BA186"/>
      <c r="BB186"/>
      <c r="BC186"/>
    </row>
    <row r="187" spans="1:55" s="8" customFormat="1" ht="15.75" hidden="1" thickBot="1" x14ac:dyDescent="0.3">
      <c r="A187" s="12" t="str">
        <f ca="1">IF(F187+G187+H187+I187+J187+D187+E187=3,IF(Tabelle2[[#This Row],[Kappe Weiß]]=Limits!$R$29,1,""),"")</f>
        <v/>
      </c>
      <c r="B187" s="12" t="str">
        <f ca="1">IF(G187+H187+I187+J187+E187+F187=2,IF(Tabelle2[[#This Row],[Kappe Weiß]]=Limits!$R$29,1,""),"")</f>
        <v/>
      </c>
      <c r="C187" s="291">
        <v>1</v>
      </c>
      <c r="D187" s="171">
        <f>IF(Limits!$P$12=TRUE,1,0)</f>
        <v>0</v>
      </c>
      <c r="E187" s="172">
        <f>IF(Daten!$P187+Daten!$Q187+Daten!$S187=3,1,0)</f>
        <v>0</v>
      </c>
      <c r="F187" s="173">
        <f ca="1">IF(AND(Limits!$Q$21=TRUE,Daten!O187=1)=TRUE,1,0)</f>
        <v>1</v>
      </c>
      <c r="G187" s="174">
        <f ca="1">IF(AND(Limits!$Q$25=TRUE,Daten!N187=1)=TRUE,1,0)</f>
        <v>0</v>
      </c>
      <c r="H187" s="174">
        <f ca="1">IF(AND(Limits!$Q$24=TRUE,Daten!M187=1)=TRUE,1,0)</f>
        <v>0</v>
      </c>
      <c r="I187" s="174">
        <f ca="1">IF(AND(Limits!$Q$23=TRUE,Daten!L187=1)=TRUE,1,0)</f>
        <v>0</v>
      </c>
      <c r="J187" s="174">
        <f ca="1">IF(AND(Limits!$Q$22=TRUE,Daten!K187=1)=TRUE,1,0)</f>
        <v>0</v>
      </c>
      <c r="K187" s="188">
        <f ca="1">IF(Daten!$V187=13,1,0)</f>
        <v>0</v>
      </c>
      <c r="L187" s="189">
        <f ca="1">IF(Daten!$V187&lt;&gt;Daten!$W187,1,IF(Daten!$V187=14,1,0))</f>
        <v>0</v>
      </c>
      <c r="M187" s="189">
        <f ca="1">IF(Daten!$V187&lt;&gt;Daten!$W187,1,IF(Daten!$V187=16,1,0))</f>
        <v>0</v>
      </c>
      <c r="N187" s="189">
        <f ca="1">IF(Daten!$W187=17,1,0)</f>
        <v>0</v>
      </c>
      <c r="O187" s="190">
        <f ca="1">IF(Daten!$X187=Sprache!$A$70,1,0)</f>
        <v>1</v>
      </c>
      <c r="P187" s="191">
        <f>IF(AND(Daten!$AQ187&lt;=KINVARO!$AW$3,Daten!$AR187&gt;=KINVARO!$AW$3)=TRUE,1,0)</f>
        <v>1</v>
      </c>
      <c r="Q187" s="192">
        <f>IF(AND(Daten!$AA187&lt;=KINVARO!$AW$4,Daten!$AB187&gt;=KINVARO!$AW$4)=TRUE,1,0)</f>
        <v>0</v>
      </c>
      <c r="R187" s="192"/>
      <c r="S187" s="192">
        <f>IF(AND(Daten!$AD187&lt;=Limits!$I$70,Daten!$AE187&gt;=Limits!$I$70)=TRUE,1,0)</f>
        <v>0</v>
      </c>
      <c r="T187" s="193">
        <f ca="1">IF(Daten!$Y187=Sprache!$A$135,1,0)</f>
        <v>0</v>
      </c>
      <c r="U187" s="124" t="str">
        <f ca="1">Sprache!$A$62</f>
        <v>T-105 Коленчатый подъемник</v>
      </c>
      <c r="V187" s="194" t="str">
        <f ca="1">Sprache!$A$74</f>
        <v>var</v>
      </c>
      <c r="W187" s="193" t="str">
        <f ca="1">Sprache!$A$74</f>
        <v>var</v>
      </c>
      <c r="X187" s="187" t="str">
        <f ca="1">Sprache!$A$70</f>
        <v>соединение с древесиной</v>
      </c>
      <c r="Y187" s="187" t="str">
        <f ca="1">Sprache!$A$136</f>
        <v>nein</v>
      </c>
      <c r="Z187" s="187" t="str">
        <f ca="1">Sprache!$A$79</f>
        <v>Створка</v>
      </c>
      <c r="AA187" s="187">
        <v>400</v>
      </c>
      <c r="AB187" s="124">
        <v>449</v>
      </c>
      <c r="AC187" s="187"/>
      <c r="AD187" s="195">
        <v>4.3</v>
      </c>
      <c r="AE187" s="196">
        <v>8.1</v>
      </c>
      <c r="AF187" s="263" t="str">
        <f>MID(Tabelle2[[#This Row],[bnr full]],1,4)</f>
        <v>F151</v>
      </c>
      <c r="AG187" s="264" t="str">
        <f>MID(Tabelle2[[#This Row],[bnr full]],5,3)</f>
        <v>145</v>
      </c>
      <c r="AH187" s="265" t="str">
        <f>MID(Tabelle2[[#This Row],[bnr full]],8,3)</f>
        <v>218</v>
      </c>
      <c r="AI187" s="264" t="str">
        <f>MID(Tabelle2[[#This Row],[bnr full]],11,3)</f>
        <v>201</v>
      </c>
      <c r="AJ187" s="252" t="str">
        <f>MID(Tabelle2[[#This Row],[bnr full]],11,3)</f>
        <v>201</v>
      </c>
      <c r="AK187" s="197" t="s">
        <v>786</v>
      </c>
      <c r="AL187" s="124" t="str">
        <f ca="1">Sprache!$A$112</f>
        <v>Правый</v>
      </c>
      <c r="AM187" s="187" t="str">
        <f ca="1">Sprache!$A$134</f>
        <v>2 коленчатых подъемника</v>
      </c>
      <c r="AN187" s="187" t="str">
        <f ca="1">Sprache!$A$126</f>
        <v>Пружина, черная</v>
      </c>
      <c r="AO187" s="187" t="str">
        <f ca="1">Sprache!$A$148</f>
        <v>Коленчатый подъемник Kinvaro T-105, правый</v>
      </c>
      <c r="AP187" s="187" t="s">
        <v>817</v>
      </c>
      <c r="AQ187" s="187">
        <f>Limits!$K$9</f>
        <v>200</v>
      </c>
      <c r="AR187" s="124">
        <v>1200</v>
      </c>
      <c r="AS187" s="187" t="str">
        <f ca="1">CONCATENATE("TIOMOS 110° ",Sprache!$A$98)</f>
        <v>TIOMOS 110° Шарнир</v>
      </c>
      <c r="AT187" s="187" t="str">
        <f ca="1">CONCATENATE("1D° ",Sprache!$A$149)</f>
        <v>1D° Монтажная плита</v>
      </c>
    </row>
    <row r="188" spans="1:55" hidden="1" x14ac:dyDescent="0.25">
      <c r="A188" s="12" t="str">
        <f ca="1">IF(F188+G188+H188+I188+J188+D188+E188=3,IF(Tabelle2[[#This Row],[Kappe Weiß]]=Limits!$R$29,1,""),"")</f>
        <v/>
      </c>
      <c r="B188" s="12" t="str">
        <f ca="1">IF(G188+H188+I188+J188+E188+F188=2,IF(Tabelle2[[#This Row],[Kappe Weiß]]=Limits!$R$29,1,""),"")</f>
        <v/>
      </c>
      <c r="C188" s="291">
        <v>1</v>
      </c>
      <c r="D188" s="171">
        <f>IF(Limits!$P$12=TRUE,1,0)</f>
        <v>0</v>
      </c>
      <c r="E188" s="172">
        <f>IF(Daten!$P188+Daten!$Q188+Daten!$S188=3,1,0)</f>
        <v>0</v>
      </c>
      <c r="F188" s="173">
        <f ca="1">IF(AND(Limits!$Q$21=TRUE,Daten!O188=1)=TRUE,1,0)</f>
        <v>0</v>
      </c>
      <c r="G188" s="174">
        <f>IF(AND(Limits!$Q$25=TRUE,Daten!N188=1)=TRUE,1,0)</f>
        <v>0</v>
      </c>
      <c r="H188" s="174">
        <f>IF(AND(Limits!$Q$24=TRUE,Daten!M188=1)=TRUE,1,0)</f>
        <v>0</v>
      </c>
      <c r="I188" s="174">
        <f>IF(AND(Limits!$Q$23=TRUE,Daten!L188=1)=TRUE,1,0)</f>
        <v>0</v>
      </c>
      <c r="J188" s="174">
        <f>IF(AND(Limits!$Q$22=TRUE,Daten!K188=1)=TRUE,1,0)</f>
        <v>0</v>
      </c>
      <c r="K188" s="188">
        <f>IF(Daten!$V188=13,1,0)</f>
        <v>0</v>
      </c>
      <c r="L188" s="189">
        <f>IF(Daten!$V188&lt;&gt;Daten!$W188,1,IF(Daten!$V188=14,1,0))</f>
        <v>1</v>
      </c>
      <c r="M188" s="189">
        <f>IF(Daten!$V188&lt;&gt;Daten!$W188,1,IF(Daten!$V188=16,1,0))</f>
        <v>0</v>
      </c>
      <c r="N188" s="189">
        <f>IF(Daten!$W188=17,1,0)</f>
        <v>0</v>
      </c>
      <c r="O188" s="190">
        <f ca="1">IF(Daten!$X188=Sprache!$A$70,1,0)</f>
        <v>0</v>
      </c>
      <c r="P188" s="191">
        <f>IF(AND(Daten!$AQ188&lt;=KINVARO!$AW$3,Daten!$AR188&gt;=KINVARO!$AW$3)=TRUE,1,0)</f>
        <v>1</v>
      </c>
      <c r="Q188" s="192">
        <f>IF(AND(Daten!$AA188&lt;=KINVARO!$AW$4,Daten!$AB188&gt;=KINVARO!$AW$4)=TRUE,1,0)</f>
        <v>0</v>
      </c>
      <c r="R188" s="192"/>
      <c r="S188" s="192">
        <f>IF(AND(Daten!$AD188&lt;=Limits!$I$70,Daten!$AE188&gt;=Limits!$I$70)=TRUE,1,0)</f>
        <v>0</v>
      </c>
      <c r="T188" s="193">
        <f ca="1">IF(Daten!$Y188=Sprache!$A$135,1,0)</f>
        <v>0</v>
      </c>
      <c r="U188" s="124" t="str">
        <f ca="1">Sprache!$A$62</f>
        <v>T-105 Коленчатый подъемник</v>
      </c>
      <c r="V188" s="194">
        <v>14</v>
      </c>
      <c r="W188" s="193">
        <v>14</v>
      </c>
      <c r="X188" s="187" t="str">
        <f ca="1">Sprache!$A$141</f>
        <v>Alu</v>
      </c>
      <c r="Y188" s="187" t="str">
        <f ca="1">Sprache!$A$136</f>
        <v>nein</v>
      </c>
      <c r="Z188" s="187" t="str">
        <f ca="1">Sprache!$A$79</f>
        <v>Створка</v>
      </c>
      <c r="AA188" s="187">
        <v>400</v>
      </c>
      <c r="AB188" s="124">
        <v>449</v>
      </c>
      <c r="AC188" s="187"/>
      <c r="AD188" s="195">
        <v>2.6</v>
      </c>
      <c r="AE188" s="196">
        <v>6.8</v>
      </c>
      <c r="AF188" s="263" t="str">
        <f>MID(Tabelle2[[#This Row],[bnr full]],1,4)</f>
        <v>F151</v>
      </c>
      <c r="AG188" s="264" t="str">
        <f>MID(Tabelle2[[#This Row],[bnr full]],5,3)</f>
        <v>145</v>
      </c>
      <c r="AH188" s="265" t="str">
        <f>MID(Tabelle2[[#This Row],[bnr full]],8,3)</f>
        <v>214</v>
      </c>
      <c r="AI188" s="264" t="str">
        <f>MID(Tabelle2[[#This Row],[bnr full]],11,3)</f>
        <v>201</v>
      </c>
      <c r="AJ188" s="252" t="str">
        <f>MID(Tabelle2[[#This Row],[bnr full]],11,3)</f>
        <v>201</v>
      </c>
      <c r="AK188" s="197" t="s">
        <v>787</v>
      </c>
      <c r="AL188" s="124" t="str">
        <f ca="1">Sprache!$A$112</f>
        <v>Правый</v>
      </c>
      <c r="AM188" s="187" t="str">
        <f ca="1">Sprache!$A$134</f>
        <v>2 коленчатых подъемника</v>
      </c>
      <c r="AN188" s="187" t="str">
        <f ca="1">Sprache!$A$125</f>
        <v>Пружина, стандарт</v>
      </c>
      <c r="AO188" s="187" t="str">
        <f ca="1">Sprache!$A$148</f>
        <v>Коленчатый подъемник Kinvaro T-105, правый</v>
      </c>
      <c r="AP188" s="187" t="s">
        <v>818</v>
      </c>
      <c r="AQ188" s="187">
        <f>Limits!$K$9</f>
        <v>200</v>
      </c>
      <c r="AR188" s="124">
        <v>1200</v>
      </c>
      <c r="AS188" s="187" t="str">
        <f ca="1">CONCATENATE("TIOMOS 110° ",Sprache!$A$150)</f>
        <v>TIOMOS 110° Шарнир для алюминиевой рамки</v>
      </c>
      <c r="AT188" s="187" t="str">
        <f ca="1">CONCATENATE("1D° ",Sprache!$A$149)</f>
        <v>1D° Монтажная плита</v>
      </c>
      <c r="AU188"/>
      <c r="AV188"/>
      <c r="AY188"/>
      <c r="AZ188"/>
      <c r="BA188"/>
      <c r="BB188"/>
      <c r="BC188"/>
    </row>
    <row r="189" spans="1:55" hidden="1" x14ac:dyDescent="0.25">
      <c r="A189" s="12" t="str">
        <f ca="1">IF(F189+G189+H189+I189+J189+D189+E189=3,IF(Tabelle2[[#This Row],[Kappe Weiß]]=Limits!$R$29,1,""),"")</f>
        <v/>
      </c>
      <c r="B189" s="12" t="str">
        <f ca="1">IF(G189+H189+I189+J189+E189+F189=2,IF(Tabelle2[[#This Row],[Kappe Weiß]]=Limits!$R$29,1,""),"")</f>
        <v/>
      </c>
      <c r="C189" s="291">
        <v>1</v>
      </c>
      <c r="D189" s="171">
        <f>IF(Limits!$P$12=TRUE,1,0)</f>
        <v>0</v>
      </c>
      <c r="E189" s="172">
        <f>IF(Daten!$P189+Daten!$Q189+Daten!$S189=3,1,0)</f>
        <v>0</v>
      </c>
      <c r="F189" s="173">
        <f ca="1">IF(AND(Limits!$Q$21=TRUE,Daten!O189=1)=TRUE,1,0)</f>
        <v>0</v>
      </c>
      <c r="G189" s="174">
        <f>IF(AND(Limits!$Q$25=TRUE,Daten!N189=1)=TRUE,1,0)</f>
        <v>0</v>
      </c>
      <c r="H189" s="174">
        <f>IF(AND(Limits!$Q$24=TRUE,Daten!M189=1)=TRUE,1,0)</f>
        <v>0</v>
      </c>
      <c r="I189" s="174">
        <f>IF(AND(Limits!$Q$23=TRUE,Daten!L189=1)=TRUE,1,0)</f>
        <v>0</v>
      </c>
      <c r="J189" s="174">
        <f>IF(AND(Limits!$Q$22=TRUE,Daten!K189=1)=TRUE,1,0)</f>
        <v>0</v>
      </c>
      <c r="K189" s="188">
        <f>IF(Daten!$V189=13,1,0)</f>
        <v>0</v>
      </c>
      <c r="L189" s="189">
        <f>IF(Daten!$V189&lt;&gt;Daten!$W189,1,IF(Daten!$V189=14,1,0))</f>
        <v>0</v>
      </c>
      <c r="M189" s="189">
        <f>IF(Daten!$V189&lt;&gt;Daten!$W189,1,IF(Daten!$V189=16,1,0))</f>
        <v>1</v>
      </c>
      <c r="N189" s="189">
        <f>IF(Daten!$W189=17,1,0)</f>
        <v>0</v>
      </c>
      <c r="O189" s="190">
        <f ca="1">IF(Daten!$X189=Sprache!$A$70,1,0)</f>
        <v>0</v>
      </c>
      <c r="P189" s="191">
        <f>IF(AND(Daten!$AQ189&lt;=KINVARO!$AW$3,Daten!$AR189&gt;=KINVARO!$AW$3)=TRUE,1,0)</f>
        <v>1</v>
      </c>
      <c r="Q189" s="192">
        <f>IF(AND(Daten!$AA189&lt;=KINVARO!$AW$4,Daten!$AB189&gt;=KINVARO!$AW$4)=TRUE,1,0)</f>
        <v>0</v>
      </c>
      <c r="R189" s="192"/>
      <c r="S189" s="192">
        <f>IF(AND(Daten!$AD189&lt;=Limits!$I$70,Daten!$AE189&gt;=Limits!$I$70)=TRUE,1,0)</f>
        <v>0</v>
      </c>
      <c r="T189" s="193">
        <f ca="1">IF(Daten!$Y189=Sprache!$A$135,1,0)</f>
        <v>0</v>
      </c>
      <c r="U189" s="124" t="str">
        <f ca="1">Sprache!$A$62</f>
        <v>T-105 Коленчатый подъемник</v>
      </c>
      <c r="V189" s="194">
        <v>16</v>
      </c>
      <c r="W189" s="193">
        <v>16</v>
      </c>
      <c r="X189" s="187" t="str">
        <f ca="1">Sprache!$A$141</f>
        <v>Alu</v>
      </c>
      <c r="Y189" s="187" t="str">
        <f ca="1">Sprache!$A$136</f>
        <v>nein</v>
      </c>
      <c r="Z189" s="187" t="str">
        <f ca="1">Sprache!$A$79</f>
        <v>Створка</v>
      </c>
      <c r="AA189" s="187">
        <v>400</v>
      </c>
      <c r="AB189" s="124">
        <v>449</v>
      </c>
      <c r="AC189" s="187"/>
      <c r="AD189" s="195">
        <v>2.6</v>
      </c>
      <c r="AE189" s="196">
        <v>6.8</v>
      </c>
      <c r="AF189" s="263" t="str">
        <f>MID(Tabelle2[[#This Row],[bnr full]],1,4)</f>
        <v>F151</v>
      </c>
      <c r="AG189" s="264" t="str">
        <f>MID(Tabelle2[[#This Row],[bnr full]],5,3)</f>
        <v>145</v>
      </c>
      <c r="AH189" s="265" t="str">
        <f>MID(Tabelle2[[#This Row],[bnr full]],8,3)</f>
        <v>216</v>
      </c>
      <c r="AI189" s="264" t="str">
        <f>MID(Tabelle2[[#This Row],[bnr full]],11,3)</f>
        <v>201</v>
      </c>
      <c r="AJ189" s="252" t="str">
        <f>MID(Tabelle2[[#This Row],[bnr full]],11,3)</f>
        <v>201</v>
      </c>
      <c r="AK189" s="197" t="s">
        <v>788</v>
      </c>
      <c r="AL189" s="124" t="str">
        <f ca="1">Sprache!$A$112</f>
        <v>Правый</v>
      </c>
      <c r="AM189" s="187" t="str">
        <f ca="1">Sprache!$A$134</f>
        <v>2 коленчатых подъемника</v>
      </c>
      <c r="AN189" s="187" t="str">
        <f ca="1">Sprache!$A$125</f>
        <v>Пружина, стандарт</v>
      </c>
      <c r="AO189" s="187" t="str">
        <f ca="1">Sprache!$A$148</f>
        <v>Коленчатый подъемник Kinvaro T-105, правый</v>
      </c>
      <c r="AP189" s="187" t="s">
        <v>819</v>
      </c>
      <c r="AQ189" s="187">
        <f>Limits!$K$9</f>
        <v>200</v>
      </c>
      <c r="AR189" s="124">
        <v>1200</v>
      </c>
      <c r="AS189" s="187" t="str">
        <f ca="1">CONCATENATE("TIOMOS 110° ",Sprache!$A$150)</f>
        <v>TIOMOS 110° Шарнир для алюминиевой рамки</v>
      </c>
      <c r="AT189" s="187" t="str">
        <f ca="1">CONCATENATE("1D° ",Sprache!$A$149)</f>
        <v>1D° Монтажная плита</v>
      </c>
      <c r="AU189"/>
      <c r="AV189"/>
      <c r="AY189"/>
      <c r="AZ189"/>
      <c r="BA189"/>
      <c r="BB189"/>
      <c r="BC189"/>
    </row>
    <row r="190" spans="1:55" hidden="1" x14ac:dyDescent="0.25">
      <c r="A190" s="12" t="str">
        <f ca="1">IF(F190+G190+H190+I190+J190+D190+E190=3,IF(Tabelle2[[#This Row],[Kappe Weiß]]=Limits!$R$29,1,""),"")</f>
        <v/>
      </c>
      <c r="B190" s="12" t="str">
        <f ca="1">IF(G190+H190+I190+J190+E190+F190=2,IF(Tabelle2[[#This Row],[Kappe Weiß]]=Limits!$R$29,1,""),"")</f>
        <v/>
      </c>
      <c r="C190" s="292">
        <v>1</v>
      </c>
      <c r="D190" s="171">
        <f>IF(Limits!$P$12=TRUE,1,0)</f>
        <v>0</v>
      </c>
      <c r="E190" s="172">
        <f>IF(Daten!$P190+Daten!$Q190+Daten!$S190=3,1,0)</f>
        <v>0</v>
      </c>
      <c r="F190" s="173">
        <f ca="1">IF(AND(Limits!$Q$21=TRUE,Daten!O190=1)=TRUE,1,0)</f>
        <v>1</v>
      </c>
      <c r="G190" s="174">
        <f ca="1">IF(AND(Limits!$Q$25=TRUE,Daten!N190=1)=TRUE,1,0)</f>
        <v>0</v>
      </c>
      <c r="H190" s="174">
        <f ca="1">IF(AND(Limits!$Q$24=TRUE,Daten!M190=1)=TRUE,1,0)</f>
        <v>0</v>
      </c>
      <c r="I190" s="174">
        <f ca="1">IF(AND(Limits!$Q$23=TRUE,Daten!L190=1)=TRUE,1,0)</f>
        <v>0</v>
      </c>
      <c r="J190" s="174">
        <f ca="1">IF(AND(Limits!$Q$22=TRUE,Daten!K190=1)=TRUE,1,0)</f>
        <v>0</v>
      </c>
      <c r="K190" s="188">
        <f ca="1">IF(Daten!$V190=13,1,0)</f>
        <v>0</v>
      </c>
      <c r="L190" s="189">
        <f ca="1">IF(Daten!$V190&lt;&gt;Daten!$W190,1,IF(Daten!$V190=14,1,0))</f>
        <v>0</v>
      </c>
      <c r="M190" s="189">
        <f ca="1">IF(Daten!$V190&lt;&gt;Daten!$W190,1,IF(Daten!$V190=16,1,0))</f>
        <v>0</v>
      </c>
      <c r="N190" s="189">
        <f ca="1">IF(Daten!$W190=17,1,0)</f>
        <v>0</v>
      </c>
      <c r="O190" s="190">
        <f ca="1">IF(Daten!$X190=Sprache!$A$70,1,0)</f>
        <v>1</v>
      </c>
      <c r="P190" s="198">
        <f>IF(AND(Daten!$AQ190&lt;=KINVARO!$AW$3,Daten!$AR190&gt;=KINVARO!$AW$3)=TRUE,1,0)</f>
        <v>1</v>
      </c>
      <c r="Q190" s="199">
        <f>IF(AND(Daten!$AA190&lt;=KINVARO!$AW$4,Daten!$AB190&gt;=KINVARO!$AW$4)=TRUE,1,0)</f>
        <v>0</v>
      </c>
      <c r="R190" s="199"/>
      <c r="S190" s="199">
        <f>IF(AND(Daten!$AD190&lt;=Limits!$I$70,Daten!$AE190&gt;=Limits!$I$70)=TRUE,1,0)</f>
        <v>0</v>
      </c>
      <c r="T190" s="200">
        <f ca="1">IF(Daten!$Y190=Sprache!$A$135,1,0)</f>
        <v>0</v>
      </c>
      <c r="U190" s="201" t="str">
        <f ca="1">Sprache!$A$62</f>
        <v>T-105 Коленчатый подъемник</v>
      </c>
      <c r="V190" s="202" t="str">
        <f ca="1">Sprache!$A$74</f>
        <v>var</v>
      </c>
      <c r="W190" s="200" t="str">
        <f ca="1">Sprache!$A$74</f>
        <v>var</v>
      </c>
      <c r="X190" s="203" t="str">
        <f ca="1">Sprache!$A$70</f>
        <v>соединение с древесиной</v>
      </c>
      <c r="Y190" s="187" t="str">
        <f ca="1">Sprache!$A$136</f>
        <v>nein</v>
      </c>
      <c r="Z190" s="203" t="str">
        <f ca="1">Sprache!$A$79</f>
        <v>Створка</v>
      </c>
      <c r="AA190" s="203">
        <v>450</v>
      </c>
      <c r="AB190" s="201">
        <v>500</v>
      </c>
      <c r="AC190" s="203"/>
      <c r="AD190" s="204">
        <v>1.2</v>
      </c>
      <c r="AE190" s="205">
        <v>3</v>
      </c>
      <c r="AF190" s="266" t="str">
        <f>MID(Tabelle2[[#This Row],[bnr full]],1,4)</f>
        <v>F151</v>
      </c>
      <c r="AG190" s="267" t="str">
        <f>MID(Tabelle2[[#This Row],[bnr full]],5,3)</f>
        <v>145</v>
      </c>
      <c r="AH190" s="268" t="str">
        <f>MID(Tabelle2[[#This Row],[bnr full]],8,3)</f>
        <v>220</v>
      </c>
      <c r="AI190" s="267" t="str">
        <f>MID(Tabelle2[[#This Row],[bnr full]],11,3)</f>
        <v>201</v>
      </c>
      <c r="AJ190" s="253" t="str">
        <f>MID(Tabelle2[[#This Row],[bnr full]],11,3)</f>
        <v>201</v>
      </c>
      <c r="AK190" s="206" t="s">
        <v>785</v>
      </c>
      <c r="AL190" s="201" t="str">
        <f ca="1">Sprache!$A$112</f>
        <v>Правый</v>
      </c>
      <c r="AM190" s="203" t="str">
        <f ca="1">Sprache!$A$133</f>
        <v>1 коленчатый подъемник</v>
      </c>
      <c r="AN190" s="203" t="str">
        <f ca="1">Sprache!$A$125</f>
        <v>Пружина, стандарт</v>
      </c>
      <c r="AO190" s="203" t="str">
        <f ca="1">Sprache!$A$148</f>
        <v>Коленчатый подъемник Kinvaro T-105, правый</v>
      </c>
      <c r="AP190" s="203" t="s">
        <v>816</v>
      </c>
      <c r="AQ190" s="203">
        <f>Limits!$K$9</f>
        <v>200</v>
      </c>
      <c r="AR190" s="201">
        <v>1200</v>
      </c>
      <c r="AS190" s="187" t="str">
        <f ca="1">CONCATENATE("TIOMOS 110° ",Sprache!$A$98)</f>
        <v>TIOMOS 110° Шарнир</v>
      </c>
      <c r="AT190" s="187" t="str">
        <f ca="1">CONCATENATE("1D° ",Sprache!$A$149)</f>
        <v>1D° Монтажная плита</v>
      </c>
      <c r="AU190"/>
      <c r="AV190"/>
      <c r="AY190"/>
      <c r="AZ190"/>
      <c r="BA190"/>
      <c r="BB190"/>
      <c r="BC190"/>
    </row>
    <row r="191" spans="1:55" hidden="1" x14ac:dyDescent="0.25">
      <c r="A191" s="12" t="str">
        <f ca="1">IF(F191+G191+H191+I191+J191+D191+E191=3,IF(Tabelle2[[#This Row],[Kappe Weiß]]=Limits!$R$29,1,""),"")</f>
        <v/>
      </c>
      <c r="B191" s="12" t="str">
        <f ca="1">IF(G191+H191+I191+J191+E191+F191=2,IF(Tabelle2[[#This Row],[Kappe Weiß]]=Limits!$R$29,1,""),"")</f>
        <v/>
      </c>
      <c r="C191" s="291">
        <v>1</v>
      </c>
      <c r="D191" s="171">
        <f>IF(Limits!$P$12=TRUE,1,0)</f>
        <v>0</v>
      </c>
      <c r="E191" s="172">
        <f>IF(Daten!$P191+Daten!$Q191+Daten!$S191=3,1,0)</f>
        <v>0</v>
      </c>
      <c r="F191" s="173">
        <f ca="1">IF(AND(Limits!$Q$21=TRUE,Daten!O191=1)=TRUE,1,0)</f>
        <v>1</v>
      </c>
      <c r="G191" s="174">
        <f ca="1">IF(AND(Limits!$Q$25=TRUE,Daten!N191=1)=TRUE,1,0)</f>
        <v>0</v>
      </c>
      <c r="H191" s="174">
        <f ca="1">IF(AND(Limits!$Q$24=TRUE,Daten!M191=1)=TRUE,1,0)</f>
        <v>0</v>
      </c>
      <c r="I191" s="174">
        <f ca="1">IF(AND(Limits!$Q$23=TRUE,Daten!L191=1)=TRUE,1,0)</f>
        <v>0</v>
      </c>
      <c r="J191" s="174">
        <f ca="1">IF(AND(Limits!$Q$22=TRUE,Daten!K191=1)=TRUE,1,0)</f>
        <v>0</v>
      </c>
      <c r="K191" s="188">
        <f ca="1">IF(Daten!$V191=13,1,0)</f>
        <v>0</v>
      </c>
      <c r="L191" s="189">
        <f ca="1">IF(Daten!$V191&lt;&gt;Daten!$W191,1,IF(Daten!$V191=14,1,0))</f>
        <v>0</v>
      </c>
      <c r="M191" s="189">
        <f ca="1">IF(Daten!$V191&lt;&gt;Daten!$W191,1,IF(Daten!$V191=16,1,0))</f>
        <v>0</v>
      </c>
      <c r="N191" s="189">
        <f ca="1">IF(Daten!$W191=17,1,0)</f>
        <v>0</v>
      </c>
      <c r="O191" s="190">
        <f ca="1">IF(Daten!$X191=Sprache!$A$70,1,0)</f>
        <v>1</v>
      </c>
      <c r="P191" s="191">
        <f>IF(AND(Daten!$AQ191&lt;=KINVARO!$AW$3,Daten!$AR191&gt;=KINVARO!$AW$3)=TRUE,1,0)</f>
        <v>1</v>
      </c>
      <c r="Q191" s="192">
        <f>IF(AND(Daten!$AA191&lt;=KINVARO!$AW$4,Daten!$AB191&gt;=KINVARO!$AW$4)=TRUE,1,0)</f>
        <v>0</v>
      </c>
      <c r="R191" s="192"/>
      <c r="S191" s="192">
        <f>IF(AND(Daten!$AD191&lt;=Limits!$I$70,Daten!$AE191&gt;=Limits!$I$70)=TRUE,1,0)</f>
        <v>0</v>
      </c>
      <c r="T191" s="193">
        <f ca="1">IF(Daten!$Y191=Sprache!$A$135,1,0)</f>
        <v>0</v>
      </c>
      <c r="U191" s="124" t="str">
        <f ca="1">Sprache!$A$62</f>
        <v>T-105 Коленчатый подъемник</v>
      </c>
      <c r="V191" s="194" t="str">
        <f ca="1">Sprache!$A$74</f>
        <v>var</v>
      </c>
      <c r="W191" s="193" t="str">
        <f ca="1">Sprache!$A$74</f>
        <v>var</v>
      </c>
      <c r="X191" s="187" t="str">
        <f ca="1">Sprache!$A$70</f>
        <v>соединение с древесиной</v>
      </c>
      <c r="Y191" s="187" t="str">
        <f ca="1">Sprache!$A$136</f>
        <v>nein</v>
      </c>
      <c r="Z191" s="187" t="str">
        <f ca="1">Sprache!$A$79</f>
        <v>Створка</v>
      </c>
      <c r="AA191" s="187">
        <v>450</v>
      </c>
      <c r="AB191" s="124">
        <v>500</v>
      </c>
      <c r="AC191" s="187"/>
      <c r="AD191" s="195">
        <v>1.9</v>
      </c>
      <c r="AE191" s="196">
        <v>3.8</v>
      </c>
      <c r="AF191" s="263" t="str">
        <f>MID(Tabelle2[[#This Row],[bnr full]],1,4)</f>
        <v>F151</v>
      </c>
      <c r="AG191" s="264" t="str">
        <f>MID(Tabelle2[[#This Row],[bnr full]],5,3)</f>
        <v>145</v>
      </c>
      <c r="AH191" s="265" t="str">
        <f>MID(Tabelle2[[#This Row],[bnr full]],8,3)</f>
        <v>218</v>
      </c>
      <c r="AI191" s="264" t="str">
        <f>MID(Tabelle2[[#This Row],[bnr full]],11,3)</f>
        <v>201</v>
      </c>
      <c r="AJ191" s="252" t="str">
        <f>MID(Tabelle2[[#This Row],[bnr full]],11,3)</f>
        <v>201</v>
      </c>
      <c r="AK191" s="197" t="s">
        <v>786</v>
      </c>
      <c r="AL191" s="124" t="str">
        <f ca="1">Sprache!$A$112</f>
        <v>Правый</v>
      </c>
      <c r="AM191" s="187" t="str">
        <f ca="1">Sprache!$A$133</f>
        <v>1 коленчатый подъемник</v>
      </c>
      <c r="AN191" s="187" t="str">
        <f ca="1">Sprache!$A$126</f>
        <v>Пружина, черная</v>
      </c>
      <c r="AO191" s="187" t="str">
        <f ca="1">Sprache!$A$148</f>
        <v>Коленчатый подъемник Kinvaro T-105, правый</v>
      </c>
      <c r="AP191" s="187" t="s">
        <v>817</v>
      </c>
      <c r="AQ191" s="187">
        <f>Limits!$K$9</f>
        <v>200</v>
      </c>
      <c r="AR191" s="124">
        <v>1200</v>
      </c>
      <c r="AS191" s="187" t="str">
        <f ca="1">CONCATENATE("TIOMOS 110° ",Sprache!$A$98)</f>
        <v>TIOMOS 110° Шарнир</v>
      </c>
      <c r="AT191" s="187" t="str">
        <f ca="1">CONCATENATE("1D° ",Sprache!$A$149)</f>
        <v>1D° Монтажная плита</v>
      </c>
      <c r="AU191"/>
      <c r="AV191"/>
      <c r="AY191"/>
      <c r="AZ191"/>
      <c r="BA191"/>
      <c r="BB191"/>
      <c r="BC191"/>
    </row>
    <row r="192" spans="1:55" hidden="1" x14ac:dyDescent="0.25">
      <c r="A192" s="12" t="str">
        <f ca="1">IF(F192+G192+H192+I192+J192+D192+E192=3,IF(Tabelle2[[#This Row],[Kappe Weiß]]=Limits!$R$29,1,""),"")</f>
        <v/>
      </c>
      <c r="B192" s="12" t="str">
        <f ca="1">IF(G192+H192+I192+J192+E192+F192=2,IF(Tabelle2[[#This Row],[Kappe Weiß]]=Limits!$R$29,1,""),"")</f>
        <v/>
      </c>
      <c r="C192" s="291">
        <v>1</v>
      </c>
      <c r="D192" s="171">
        <f>IF(Limits!$P$12=TRUE,1,0)</f>
        <v>0</v>
      </c>
      <c r="E192" s="172">
        <f>IF(Daten!$P192+Daten!$Q192+Daten!$S192=3,1,0)</f>
        <v>0</v>
      </c>
      <c r="F192" s="173">
        <f ca="1">IF(AND(Limits!$Q$21=TRUE,Daten!O192=1)=TRUE,1,0)</f>
        <v>0</v>
      </c>
      <c r="G192" s="174">
        <f>IF(AND(Limits!$Q$25=TRUE,Daten!N192=1)=TRUE,1,0)</f>
        <v>0</v>
      </c>
      <c r="H192" s="174">
        <f>IF(AND(Limits!$Q$24=TRUE,Daten!M192=1)=TRUE,1,0)</f>
        <v>0</v>
      </c>
      <c r="I192" s="174">
        <f>IF(AND(Limits!$Q$23=TRUE,Daten!L192=1)=TRUE,1,0)</f>
        <v>0</v>
      </c>
      <c r="J192" s="174">
        <f>IF(AND(Limits!$Q$22=TRUE,Daten!K192=1)=TRUE,1,0)</f>
        <v>0</v>
      </c>
      <c r="K192" s="188">
        <f>IF(Daten!$V192=13,1,0)</f>
        <v>0</v>
      </c>
      <c r="L192" s="189">
        <f>IF(Daten!$V192&lt;&gt;Daten!$W192,1,IF(Daten!$V192=14,1,0))</f>
        <v>1</v>
      </c>
      <c r="M192" s="189">
        <f>IF(Daten!$V192&lt;&gt;Daten!$W192,1,IF(Daten!$V192=16,1,0))</f>
        <v>0</v>
      </c>
      <c r="N192" s="189">
        <f>IF(Daten!$W192=17,1,0)</f>
        <v>0</v>
      </c>
      <c r="O192" s="190">
        <f ca="1">IF(Daten!$X192=Sprache!$A$70,1,0)</f>
        <v>0</v>
      </c>
      <c r="P192" s="191">
        <f>IF(AND(Daten!$AQ192&lt;=KINVARO!$AW$3,Daten!$AR192&gt;=KINVARO!$AW$3)=TRUE,1,0)</f>
        <v>1</v>
      </c>
      <c r="Q192" s="192">
        <f>IF(AND(Daten!$AA192&lt;=KINVARO!$AW$4,Daten!$AB192&gt;=KINVARO!$AW$4)=TRUE,1,0)</f>
        <v>0</v>
      </c>
      <c r="R192" s="192"/>
      <c r="S192" s="192">
        <f>IF(AND(Daten!$AD192&lt;=Limits!$I$70,Daten!$AE192&gt;=Limits!$I$70)=TRUE,1,0)</f>
        <v>0</v>
      </c>
      <c r="T192" s="193">
        <f ca="1">IF(Daten!$Y192=Sprache!$A$135,1,0)</f>
        <v>0</v>
      </c>
      <c r="U192" s="124" t="str">
        <f ca="1">Sprache!$A$62</f>
        <v>T-105 Коленчатый подъемник</v>
      </c>
      <c r="V192" s="194">
        <v>14</v>
      </c>
      <c r="W192" s="193">
        <v>14</v>
      </c>
      <c r="X192" s="187" t="str">
        <f ca="1">Sprache!$A$141</f>
        <v>Alu</v>
      </c>
      <c r="Y192" s="187" t="str">
        <f ca="1">Sprache!$A$136</f>
        <v>nein</v>
      </c>
      <c r="Z192" s="187" t="str">
        <f ca="1">Sprache!$A$79</f>
        <v>Створка</v>
      </c>
      <c r="AA192" s="187">
        <v>450</v>
      </c>
      <c r="AB192" s="124">
        <v>500</v>
      </c>
      <c r="AC192" s="187"/>
      <c r="AD192" s="195">
        <v>1.2</v>
      </c>
      <c r="AE192" s="196">
        <v>3</v>
      </c>
      <c r="AF192" s="263" t="str">
        <f>MID(Tabelle2[[#This Row],[bnr full]],1,4)</f>
        <v>F151</v>
      </c>
      <c r="AG192" s="264" t="str">
        <f>MID(Tabelle2[[#This Row],[bnr full]],5,3)</f>
        <v>145</v>
      </c>
      <c r="AH192" s="265" t="str">
        <f>MID(Tabelle2[[#This Row],[bnr full]],8,3)</f>
        <v>214</v>
      </c>
      <c r="AI192" s="264" t="str">
        <f>MID(Tabelle2[[#This Row],[bnr full]],11,3)</f>
        <v>201</v>
      </c>
      <c r="AJ192" s="252" t="str">
        <f>MID(Tabelle2[[#This Row],[bnr full]],11,3)</f>
        <v>201</v>
      </c>
      <c r="AK192" s="197" t="s">
        <v>787</v>
      </c>
      <c r="AL192" s="124" t="str">
        <f ca="1">Sprache!$A$112</f>
        <v>Правый</v>
      </c>
      <c r="AM192" s="187" t="str">
        <f ca="1">Sprache!$A$133</f>
        <v>1 коленчатый подъемник</v>
      </c>
      <c r="AN192" s="187" t="str">
        <f ca="1">Sprache!$A$125</f>
        <v>Пружина, стандарт</v>
      </c>
      <c r="AO192" s="187" t="str">
        <f ca="1">Sprache!$A$148</f>
        <v>Коленчатый подъемник Kinvaro T-105, правый</v>
      </c>
      <c r="AP192" s="187" t="s">
        <v>818</v>
      </c>
      <c r="AQ192" s="187">
        <f>Limits!$K$9</f>
        <v>200</v>
      </c>
      <c r="AR192" s="124">
        <v>1200</v>
      </c>
      <c r="AS192" s="187" t="str">
        <f ca="1">CONCATENATE("TIOMOS 110° ",Sprache!$A$150)</f>
        <v>TIOMOS 110° Шарнир для алюминиевой рамки</v>
      </c>
      <c r="AT192" s="187" t="str">
        <f ca="1">CONCATENATE("1D° ",Sprache!$A$149)</f>
        <v>1D° Монтажная плита</v>
      </c>
      <c r="AU192"/>
      <c r="AV192"/>
      <c r="AY192"/>
      <c r="AZ192"/>
      <c r="BA192"/>
      <c r="BB192"/>
      <c r="BC192"/>
    </row>
    <row r="193" spans="1:55" hidden="1" x14ac:dyDescent="0.25">
      <c r="A193" s="12" t="str">
        <f ca="1">IF(F193+G193+H193+I193+J193+D193+E193=3,IF(Tabelle2[[#This Row],[Kappe Weiß]]=Limits!$R$29,1,""),"")</f>
        <v/>
      </c>
      <c r="B193" s="12" t="str">
        <f ca="1">IF(G193+H193+I193+J193+E193+F193=2,IF(Tabelle2[[#This Row],[Kappe Weiß]]=Limits!$R$29,1,""),"")</f>
        <v/>
      </c>
      <c r="C193" s="291">
        <v>1</v>
      </c>
      <c r="D193" s="171">
        <f>IF(Limits!$P$12=TRUE,1,0)</f>
        <v>0</v>
      </c>
      <c r="E193" s="172">
        <f>IF(Daten!$P193+Daten!$Q193+Daten!$S193=3,1,0)</f>
        <v>0</v>
      </c>
      <c r="F193" s="173">
        <f ca="1">IF(AND(Limits!$Q$21=TRUE,Daten!O193=1)=TRUE,1,0)</f>
        <v>0</v>
      </c>
      <c r="G193" s="174">
        <f>IF(AND(Limits!$Q$25=TRUE,Daten!N193=1)=TRUE,1,0)</f>
        <v>0</v>
      </c>
      <c r="H193" s="174">
        <f>IF(AND(Limits!$Q$24=TRUE,Daten!M193=1)=TRUE,1,0)</f>
        <v>0</v>
      </c>
      <c r="I193" s="174">
        <f>IF(AND(Limits!$Q$23=TRUE,Daten!L193=1)=TRUE,1,0)</f>
        <v>0</v>
      </c>
      <c r="J193" s="174">
        <f>IF(AND(Limits!$Q$22=TRUE,Daten!K193=1)=TRUE,1,0)</f>
        <v>0</v>
      </c>
      <c r="K193" s="188">
        <f>IF(Daten!$V193=13,1,0)</f>
        <v>0</v>
      </c>
      <c r="L193" s="189">
        <f>IF(Daten!$V193&lt;&gt;Daten!$W193,1,IF(Daten!$V193=14,1,0))</f>
        <v>0</v>
      </c>
      <c r="M193" s="189">
        <f>IF(Daten!$V193&lt;&gt;Daten!$W193,1,IF(Daten!$V193=16,1,0))</f>
        <v>1</v>
      </c>
      <c r="N193" s="189">
        <f>IF(Daten!$W193=17,1,0)</f>
        <v>0</v>
      </c>
      <c r="O193" s="190">
        <f ca="1">IF(Daten!$X193=Sprache!$A$70,1,0)</f>
        <v>0</v>
      </c>
      <c r="P193" s="191">
        <f>IF(AND(Daten!$AQ193&lt;=KINVARO!$AW$3,Daten!$AR193&gt;=KINVARO!$AW$3)=TRUE,1,0)</f>
        <v>1</v>
      </c>
      <c r="Q193" s="192">
        <f>IF(AND(Daten!$AA193&lt;=KINVARO!$AW$4,Daten!$AB193&gt;=KINVARO!$AW$4)=TRUE,1,0)</f>
        <v>0</v>
      </c>
      <c r="R193" s="192"/>
      <c r="S193" s="192">
        <f>IF(AND(Daten!$AD193&lt;=Limits!$I$70,Daten!$AE193&gt;=Limits!$I$70)=TRUE,1,0)</f>
        <v>0</v>
      </c>
      <c r="T193" s="193">
        <f ca="1">IF(Daten!$Y193=Sprache!$A$135,1,0)</f>
        <v>0</v>
      </c>
      <c r="U193" s="124" t="str">
        <f ca="1">Sprache!$A$62</f>
        <v>T-105 Коленчатый подъемник</v>
      </c>
      <c r="V193" s="194">
        <v>16</v>
      </c>
      <c r="W193" s="193">
        <v>16</v>
      </c>
      <c r="X193" s="187" t="str">
        <f ca="1">Sprache!$A$141</f>
        <v>Alu</v>
      </c>
      <c r="Y193" s="187" t="str">
        <f ca="1">Sprache!$A$136</f>
        <v>nein</v>
      </c>
      <c r="Z193" s="187" t="str">
        <f ca="1">Sprache!$A$79</f>
        <v>Створка</v>
      </c>
      <c r="AA193" s="187">
        <v>450</v>
      </c>
      <c r="AB193" s="124">
        <v>500</v>
      </c>
      <c r="AC193" s="187"/>
      <c r="AD193" s="195">
        <v>1.2</v>
      </c>
      <c r="AE193" s="196">
        <v>3</v>
      </c>
      <c r="AF193" s="263" t="str">
        <f>MID(Tabelle2[[#This Row],[bnr full]],1,4)</f>
        <v>F151</v>
      </c>
      <c r="AG193" s="264" t="str">
        <f>MID(Tabelle2[[#This Row],[bnr full]],5,3)</f>
        <v>145</v>
      </c>
      <c r="AH193" s="265" t="str">
        <f>MID(Tabelle2[[#This Row],[bnr full]],8,3)</f>
        <v>216</v>
      </c>
      <c r="AI193" s="264" t="str">
        <f>MID(Tabelle2[[#This Row],[bnr full]],11,3)</f>
        <v>201</v>
      </c>
      <c r="AJ193" s="252" t="str">
        <f>MID(Tabelle2[[#This Row],[bnr full]],11,3)</f>
        <v>201</v>
      </c>
      <c r="AK193" s="197" t="s">
        <v>788</v>
      </c>
      <c r="AL193" s="124" t="str">
        <f ca="1">Sprache!$A$112</f>
        <v>Правый</v>
      </c>
      <c r="AM193" s="187" t="str">
        <f ca="1">Sprache!$A$133</f>
        <v>1 коленчатый подъемник</v>
      </c>
      <c r="AN193" s="187" t="str">
        <f ca="1">Sprache!$A$125</f>
        <v>Пружина, стандарт</v>
      </c>
      <c r="AO193" s="187" t="str">
        <f ca="1">Sprache!$A$148</f>
        <v>Коленчатый подъемник Kinvaro T-105, правый</v>
      </c>
      <c r="AP193" s="187" t="s">
        <v>819</v>
      </c>
      <c r="AQ193" s="187">
        <f>Limits!$K$9</f>
        <v>200</v>
      </c>
      <c r="AR193" s="124">
        <v>1200</v>
      </c>
      <c r="AS193" s="187" t="str">
        <f ca="1">CONCATENATE("TIOMOS 110° ",Sprache!$A$150)</f>
        <v>TIOMOS 110° Шарнир для алюминиевой рамки</v>
      </c>
      <c r="AT193" s="187" t="str">
        <f ca="1">CONCATENATE("1D° ",Sprache!$A$149)</f>
        <v>1D° Монтажная плита</v>
      </c>
      <c r="AU193"/>
      <c r="AV193"/>
      <c r="AY193"/>
      <c r="AZ193"/>
      <c r="BA193"/>
      <c r="BB193"/>
      <c r="BC193"/>
    </row>
    <row r="194" spans="1:55" hidden="1" x14ac:dyDescent="0.25">
      <c r="A194" s="12" t="str">
        <f ca="1">IF(F194+G194+H194+I194+J194+D194+E194=3,IF(Tabelle2[[#This Row],[Kappe Weiß]]=Limits!$R$29,1,""),"")</f>
        <v/>
      </c>
      <c r="B194" s="12" t="str">
        <f ca="1">IF(G194+H194+I194+J194+E194+F194=2,IF(Tabelle2[[#This Row],[Kappe Weiß]]=Limits!$R$29,1,""),"")</f>
        <v/>
      </c>
      <c r="C194" s="291">
        <v>1</v>
      </c>
      <c r="D194" s="171">
        <f>IF(Limits!$P$12=TRUE,1,0)</f>
        <v>0</v>
      </c>
      <c r="E194" s="172">
        <f>IF(Daten!$P194+Daten!$Q194+Daten!$S194=3,1,0)</f>
        <v>0</v>
      </c>
      <c r="F194" s="173">
        <f ca="1">IF(AND(Limits!$Q$21=TRUE,Daten!O194=1)=TRUE,1,0)</f>
        <v>1</v>
      </c>
      <c r="G194" s="174">
        <f ca="1">IF(AND(Limits!$Q$25=TRUE,Daten!N194=1)=TRUE,1,0)</f>
        <v>0</v>
      </c>
      <c r="H194" s="174">
        <f ca="1">IF(AND(Limits!$Q$24=TRUE,Daten!M194=1)=TRUE,1,0)</f>
        <v>0</v>
      </c>
      <c r="I194" s="174">
        <f ca="1">IF(AND(Limits!$Q$23=TRUE,Daten!L194=1)=TRUE,1,0)</f>
        <v>0</v>
      </c>
      <c r="J194" s="174">
        <f ca="1">IF(AND(Limits!$Q$22=TRUE,Daten!K194=1)=TRUE,1,0)</f>
        <v>0</v>
      </c>
      <c r="K194" s="188">
        <f ca="1">IF(Daten!$V194=13,1,0)</f>
        <v>0</v>
      </c>
      <c r="L194" s="189">
        <f ca="1">IF(Daten!$V194&lt;&gt;Daten!$W194,1,IF(Daten!$V194=14,1,0))</f>
        <v>0</v>
      </c>
      <c r="M194" s="189">
        <f ca="1">IF(Daten!$V194&lt;&gt;Daten!$W194,1,IF(Daten!$V194=16,1,0))</f>
        <v>0</v>
      </c>
      <c r="N194" s="189">
        <f ca="1">IF(Daten!$W194=17,1,0)</f>
        <v>0</v>
      </c>
      <c r="O194" s="190">
        <f ca="1">IF(Daten!$X194=Sprache!$A$70,1,0)</f>
        <v>1</v>
      </c>
      <c r="P194" s="191">
        <f>IF(AND(Daten!$AQ194&lt;=KINVARO!$AW$3,Daten!$AR194&gt;=KINVARO!$AW$3)=TRUE,1,0)</f>
        <v>1</v>
      </c>
      <c r="Q194" s="192">
        <f>IF(AND(Daten!$AA194&lt;=KINVARO!$AW$4,Daten!$AB194&gt;=KINVARO!$AW$4)=TRUE,1,0)</f>
        <v>0</v>
      </c>
      <c r="R194" s="192"/>
      <c r="S194" s="192">
        <f>IF(AND(Daten!$AD194&lt;=Limits!$I$70,Daten!$AE194&gt;=Limits!$I$70)=TRUE,1,0)</f>
        <v>0</v>
      </c>
      <c r="T194" s="193">
        <f ca="1">IF(Daten!$Y194=Sprache!$A$135,1,0)</f>
        <v>0</v>
      </c>
      <c r="U194" s="124" t="str">
        <f ca="1">Sprache!$A$62</f>
        <v>T-105 Коленчатый подъемник</v>
      </c>
      <c r="V194" s="194" t="str">
        <f ca="1">Sprache!$A$74</f>
        <v>var</v>
      </c>
      <c r="W194" s="193" t="str">
        <f ca="1">Sprache!$A$74</f>
        <v>var</v>
      </c>
      <c r="X194" s="187" t="str">
        <f ca="1">Sprache!$A$70</f>
        <v>соединение с древесиной</v>
      </c>
      <c r="Y194" s="187" t="str">
        <f ca="1">Sprache!$A$136</f>
        <v>nein</v>
      </c>
      <c r="Z194" s="187" t="str">
        <f ca="1">Sprache!$A$79</f>
        <v>Створка</v>
      </c>
      <c r="AA194" s="187">
        <v>450</v>
      </c>
      <c r="AB194" s="124">
        <v>500</v>
      </c>
      <c r="AC194" s="187"/>
      <c r="AD194" s="195">
        <v>2.4</v>
      </c>
      <c r="AE194" s="196">
        <v>6.1</v>
      </c>
      <c r="AF194" s="263" t="str">
        <f>MID(Tabelle2[[#This Row],[bnr full]],1,4)</f>
        <v>F151</v>
      </c>
      <c r="AG194" s="264" t="str">
        <f>MID(Tabelle2[[#This Row],[bnr full]],5,3)</f>
        <v>145</v>
      </c>
      <c r="AH194" s="265" t="str">
        <f>MID(Tabelle2[[#This Row],[bnr full]],8,3)</f>
        <v>220</v>
      </c>
      <c r="AI194" s="264" t="str">
        <f>MID(Tabelle2[[#This Row],[bnr full]],11,3)</f>
        <v>201</v>
      </c>
      <c r="AJ194" s="252" t="str">
        <f>MID(Tabelle2[[#This Row],[bnr full]],11,3)</f>
        <v>201</v>
      </c>
      <c r="AK194" s="197" t="s">
        <v>785</v>
      </c>
      <c r="AL194" s="124" t="str">
        <f ca="1">Sprache!$A$112</f>
        <v>Правый</v>
      </c>
      <c r="AM194" s="187" t="str">
        <f ca="1">Sprache!$A$134</f>
        <v>2 коленчатых подъемника</v>
      </c>
      <c r="AN194" s="187" t="str">
        <f ca="1">Sprache!$A$125</f>
        <v>Пружина, стандарт</v>
      </c>
      <c r="AO194" s="187" t="str">
        <f ca="1">Sprache!$A$148</f>
        <v>Коленчатый подъемник Kinvaro T-105, правый</v>
      </c>
      <c r="AP194" s="187" t="s">
        <v>816</v>
      </c>
      <c r="AQ194" s="187">
        <f>Limits!$K$9</f>
        <v>200</v>
      </c>
      <c r="AR194" s="124">
        <v>1200</v>
      </c>
      <c r="AS194" s="187" t="str">
        <f ca="1">CONCATENATE("TIOMOS 110° ",Sprache!$A$98)</f>
        <v>TIOMOS 110° Шарнир</v>
      </c>
      <c r="AT194" s="187" t="str">
        <f ca="1">CONCATENATE("1D° ",Sprache!$A$149)</f>
        <v>1D° Монтажная плита</v>
      </c>
      <c r="AU194"/>
      <c r="AV194"/>
      <c r="AY194"/>
      <c r="AZ194"/>
      <c r="BA194"/>
      <c r="BB194"/>
      <c r="BC194"/>
    </row>
    <row r="195" spans="1:55" hidden="1" x14ac:dyDescent="0.25">
      <c r="A195" s="12" t="str">
        <f ca="1">IF(F195+G195+H195+I195+J195+D195+E195=3,IF(Tabelle2[[#This Row],[Kappe Weiß]]=Limits!$R$29,1,""),"")</f>
        <v/>
      </c>
      <c r="B195" s="12" t="str">
        <f ca="1">IF(G195+H195+I195+J195+E195+F195=2,IF(Tabelle2[[#This Row],[Kappe Weiß]]=Limits!$R$29,1,""),"")</f>
        <v/>
      </c>
      <c r="C195" s="291">
        <v>1</v>
      </c>
      <c r="D195" s="171">
        <f>IF(Limits!$P$12=TRUE,1,0)</f>
        <v>0</v>
      </c>
      <c r="E195" s="172">
        <f>IF(Daten!$P195+Daten!$Q195+Daten!$S195=3,1,0)</f>
        <v>0</v>
      </c>
      <c r="F195" s="173">
        <f ca="1">IF(AND(Limits!$Q$21=TRUE,Daten!O195=1)=TRUE,1,0)</f>
        <v>1</v>
      </c>
      <c r="G195" s="174">
        <f ca="1">IF(AND(Limits!$Q$25=TRUE,Daten!N195=1)=TRUE,1,0)</f>
        <v>0</v>
      </c>
      <c r="H195" s="174">
        <f ca="1">IF(AND(Limits!$Q$24=TRUE,Daten!M195=1)=TRUE,1,0)</f>
        <v>0</v>
      </c>
      <c r="I195" s="174">
        <f ca="1">IF(AND(Limits!$Q$23=TRUE,Daten!L195=1)=TRUE,1,0)</f>
        <v>0</v>
      </c>
      <c r="J195" s="174">
        <f ca="1">IF(AND(Limits!$Q$22=TRUE,Daten!K195=1)=TRUE,1,0)</f>
        <v>0</v>
      </c>
      <c r="K195" s="188">
        <f ca="1">IF(Daten!$V195=13,1,0)</f>
        <v>0</v>
      </c>
      <c r="L195" s="189">
        <f ca="1">IF(Daten!$V195&lt;&gt;Daten!$W195,1,IF(Daten!$V195=14,1,0))</f>
        <v>0</v>
      </c>
      <c r="M195" s="189">
        <f ca="1">IF(Daten!$V195&lt;&gt;Daten!$W195,1,IF(Daten!$V195=16,1,0))</f>
        <v>0</v>
      </c>
      <c r="N195" s="189">
        <f ca="1">IF(Daten!$W195=17,1,0)</f>
        <v>0</v>
      </c>
      <c r="O195" s="190">
        <f ca="1">IF(Daten!$X195=Sprache!$A$70,1,0)</f>
        <v>1</v>
      </c>
      <c r="P195" s="191">
        <f>IF(AND(Daten!$AQ195&lt;=KINVARO!$AW$3,Daten!$AR195&gt;=KINVARO!$AW$3)=TRUE,1,0)</f>
        <v>1</v>
      </c>
      <c r="Q195" s="192">
        <f>IF(AND(Daten!$AA195&lt;=KINVARO!$AW$4,Daten!$AB195&gt;=KINVARO!$AW$4)=TRUE,1,0)</f>
        <v>0</v>
      </c>
      <c r="R195" s="192"/>
      <c r="S195" s="192">
        <f>IF(AND(Daten!$AD195&lt;=Limits!$I$70,Daten!$AE195&gt;=Limits!$I$70)=TRUE,1,0)</f>
        <v>0</v>
      </c>
      <c r="T195" s="193">
        <f ca="1">IF(Daten!$Y195=Sprache!$A$135,1,0)</f>
        <v>0</v>
      </c>
      <c r="U195" s="124" t="str">
        <f ca="1">Sprache!$A$62</f>
        <v>T-105 Коленчатый подъемник</v>
      </c>
      <c r="V195" s="194" t="str">
        <f ca="1">Sprache!$A$74</f>
        <v>var</v>
      </c>
      <c r="W195" s="193" t="str">
        <f ca="1">Sprache!$A$74</f>
        <v>var</v>
      </c>
      <c r="X195" s="187" t="str">
        <f ca="1">Sprache!$A$70</f>
        <v>соединение с древесиной</v>
      </c>
      <c r="Y195" s="187" t="str">
        <f ca="1">Sprache!$A$136</f>
        <v>nein</v>
      </c>
      <c r="Z195" s="187" t="str">
        <f ca="1">Sprache!$A$79</f>
        <v>Створка</v>
      </c>
      <c r="AA195" s="187">
        <v>450</v>
      </c>
      <c r="AB195" s="124">
        <v>500</v>
      </c>
      <c r="AC195" s="187"/>
      <c r="AD195" s="195">
        <v>3.8</v>
      </c>
      <c r="AE195" s="196">
        <v>7.4</v>
      </c>
      <c r="AF195" s="263" t="str">
        <f>MID(Tabelle2[[#This Row],[bnr full]],1,4)</f>
        <v>F151</v>
      </c>
      <c r="AG195" s="264" t="str">
        <f>MID(Tabelle2[[#This Row],[bnr full]],5,3)</f>
        <v>145</v>
      </c>
      <c r="AH195" s="265" t="str">
        <f>MID(Tabelle2[[#This Row],[bnr full]],8,3)</f>
        <v>218</v>
      </c>
      <c r="AI195" s="264" t="str">
        <f>MID(Tabelle2[[#This Row],[bnr full]],11,3)</f>
        <v>201</v>
      </c>
      <c r="AJ195" s="252" t="str">
        <f>MID(Tabelle2[[#This Row],[bnr full]],11,3)</f>
        <v>201</v>
      </c>
      <c r="AK195" s="197" t="s">
        <v>786</v>
      </c>
      <c r="AL195" s="124" t="str">
        <f ca="1">Sprache!$A$112</f>
        <v>Правый</v>
      </c>
      <c r="AM195" s="187" t="str">
        <f ca="1">Sprache!$A$134</f>
        <v>2 коленчатых подъемника</v>
      </c>
      <c r="AN195" s="187" t="str">
        <f ca="1">Sprache!$A$126</f>
        <v>Пружина, черная</v>
      </c>
      <c r="AO195" s="187" t="str">
        <f ca="1">Sprache!$A$148</f>
        <v>Коленчатый подъемник Kinvaro T-105, правый</v>
      </c>
      <c r="AP195" s="187" t="s">
        <v>817</v>
      </c>
      <c r="AQ195" s="187">
        <f>Limits!$K$9</f>
        <v>200</v>
      </c>
      <c r="AR195" s="124">
        <v>1200</v>
      </c>
      <c r="AS195" s="187" t="str">
        <f ca="1">CONCATENATE("TIOMOS 110° ",Sprache!$A$98)</f>
        <v>TIOMOS 110° Шарнир</v>
      </c>
      <c r="AT195" s="187" t="str">
        <f ca="1">CONCATENATE("1D° ",Sprache!$A$149)</f>
        <v>1D° Монтажная плита</v>
      </c>
      <c r="AU195"/>
      <c r="AV195"/>
      <c r="AY195"/>
      <c r="AZ195"/>
      <c r="BA195"/>
      <c r="BB195"/>
      <c r="BC195"/>
    </row>
    <row r="196" spans="1:55" hidden="1" x14ac:dyDescent="0.25">
      <c r="A196" s="12" t="str">
        <f ca="1">IF(F196+G196+H196+I196+J196+D196+E196=3,IF(Tabelle2[[#This Row],[Kappe Weiß]]=Limits!$R$29,1,""),"")</f>
        <v/>
      </c>
      <c r="B196" s="12" t="str">
        <f ca="1">IF(G196+H196+I196+J196+E196+F196=2,IF(Tabelle2[[#This Row],[Kappe Weiß]]=Limits!$R$29,1,""),"")</f>
        <v/>
      </c>
      <c r="C196" s="291">
        <v>1</v>
      </c>
      <c r="D196" s="171">
        <f>IF(Limits!$P$12=TRUE,1,0)</f>
        <v>0</v>
      </c>
      <c r="E196" s="172">
        <f>IF(Daten!$P196+Daten!$Q196+Daten!$S196=3,1,0)</f>
        <v>0</v>
      </c>
      <c r="F196" s="173">
        <f ca="1">IF(AND(Limits!$Q$21=TRUE,Daten!O196=1)=TRUE,1,0)</f>
        <v>0</v>
      </c>
      <c r="G196" s="174">
        <f>IF(AND(Limits!$Q$25=TRUE,Daten!N196=1)=TRUE,1,0)</f>
        <v>0</v>
      </c>
      <c r="H196" s="174">
        <f>IF(AND(Limits!$Q$24=TRUE,Daten!M196=1)=TRUE,1,0)</f>
        <v>0</v>
      </c>
      <c r="I196" s="174">
        <f>IF(AND(Limits!$Q$23=TRUE,Daten!L196=1)=TRUE,1,0)</f>
        <v>0</v>
      </c>
      <c r="J196" s="174">
        <f>IF(AND(Limits!$Q$22=TRUE,Daten!K196=1)=TRUE,1,0)</f>
        <v>0</v>
      </c>
      <c r="K196" s="188">
        <f>IF(Daten!$V196=13,1,0)</f>
        <v>0</v>
      </c>
      <c r="L196" s="189">
        <f>IF(Daten!$V196&lt;&gt;Daten!$W196,1,IF(Daten!$V196=14,1,0))</f>
        <v>1</v>
      </c>
      <c r="M196" s="189">
        <f>IF(Daten!$V196&lt;&gt;Daten!$W196,1,IF(Daten!$V196=16,1,0))</f>
        <v>0</v>
      </c>
      <c r="N196" s="189">
        <f>IF(Daten!$W196=17,1,0)</f>
        <v>0</v>
      </c>
      <c r="O196" s="190">
        <f ca="1">IF(Daten!$X196=Sprache!$A$70,1,0)</f>
        <v>0</v>
      </c>
      <c r="P196" s="191">
        <f>IF(AND(Daten!$AQ196&lt;=KINVARO!$AW$3,Daten!$AR196&gt;=KINVARO!$AW$3)=TRUE,1,0)</f>
        <v>1</v>
      </c>
      <c r="Q196" s="192">
        <f>IF(AND(Daten!$AA196&lt;=KINVARO!$AW$4,Daten!$AB196&gt;=KINVARO!$AW$4)=TRUE,1,0)</f>
        <v>0</v>
      </c>
      <c r="R196" s="192"/>
      <c r="S196" s="192">
        <f>IF(AND(Daten!$AD196&lt;=Limits!$I$70,Daten!$AE196&gt;=Limits!$I$70)=TRUE,1,0)</f>
        <v>0</v>
      </c>
      <c r="T196" s="193">
        <f ca="1">IF(Daten!$Y196=Sprache!$A$135,1,0)</f>
        <v>0</v>
      </c>
      <c r="U196" s="124" t="str">
        <f ca="1">Sprache!$A$62</f>
        <v>T-105 Коленчатый подъемник</v>
      </c>
      <c r="V196" s="194">
        <v>14</v>
      </c>
      <c r="W196" s="193">
        <v>14</v>
      </c>
      <c r="X196" s="187" t="str">
        <f ca="1">Sprache!$A$141</f>
        <v>Alu</v>
      </c>
      <c r="Y196" s="187" t="str">
        <f ca="1">Sprache!$A$136</f>
        <v>nein</v>
      </c>
      <c r="Z196" s="187" t="str">
        <f ca="1">Sprache!$A$79</f>
        <v>Створка</v>
      </c>
      <c r="AA196" s="187">
        <v>450</v>
      </c>
      <c r="AB196" s="124">
        <v>500</v>
      </c>
      <c r="AC196" s="187"/>
      <c r="AD196" s="195">
        <v>2.4</v>
      </c>
      <c r="AE196" s="196">
        <v>6.1</v>
      </c>
      <c r="AF196" s="263" t="str">
        <f>MID(Tabelle2[[#This Row],[bnr full]],1,4)</f>
        <v>F151</v>
      </c>
      <c r="AG196" s="264" t="str">
        <f>MID(Tabelle2[[#This Row],[bnr full]],5,3)</f>
        <v>145</v>
      </c>
      <c r="AH196" s="265" t="str">
        <f>MID(Tabelle2[[#This Row],[bnr full]],8,3)</f>
        <v>214</v>
      </c>
      <c r="AI196" s="264" t="str">
        <f>MID(Tabelle2[[#This Row],[bnr full]],11,3)</f>
        <v>201</v>
      </c>
      <c r="AJ196" s="252" t="str">
        <f>MID(Tabelle2[[#This Row],[bnr full]],11,3)</f>
        <v>201</v>
      </c>
      <c r="AK196" s="197" t="s">
        <v>787</v>
      </c>
      <c r="AL196" s="124" t="str">
        <f ca="1">Sprache!$A$112</f>
        <v>Правый</v>
      </c>
      <c r="AM196" s="187" t="str">
        <f ca="1">Sprache!$A$134</f>
        <v>2 коленчатых подъемника</v>
      </c>
      <c r="AN196" s="187" t="str">
        <f ca="1">Sprache!$A$125</f>
        <v>Пружина, стандарт</v>
      </c>
      <c r="AO196" s="187" t="str">
        <f ca="1">Sprache!$A$148</f>
        <v>Коленчатый подъемник Kinvaro T-105, правый</v>
      </c>
      <c r="AP196" s="187" t="s">
        <v>818</v>
      </c>
      <c r="AQ196" s="187">
        <f>Limits!$K$9</f>
        <v>200</v>
      </c>
      <c r="AR196" s="124">
        <v>1200</v>
      </c>
      <c r="AS196" s="187" t="str">
        <f ca="1">CONCATENATE("TIOMOS 110° ",Sprache!$A$150)</f>
        <v>TIOMOS 110° Шарнир для алюминиевой рамки</v>
      </c>
      <c r="AT196" s="187" t="str">
        <f ca="1">CONCATENATE("1D° ",Sprache!$A$149)</f>
        <v>1D° Монтажная плита</v>
      </c>
      <c r="AU196"/>
      <c r="AV196"/>
      <c r="AY196"/>
      <c r="AZ196"/>
      <c r="BA196"/>
      <c r="BB196"/>
      <c r="BC196"/>
    </row>
    <row r="197" spans="1:55" s="5" customFormat="1" hidden="1" x14ac:dyDescent="0.25">
      <c r="A197" s="12" t="str">
        <f ca="1">IF(F197+G197+H197+I197+J197+D197+E197=3,IF(Tabelle2[[#This Row],[Kappe Weiß]]=Limits!$R$29,1,""),"")</f>
        <v/>
      </c>
      <c r="B197" s="12" t="str">
        <f ca="1">IF(G197+H197+I197+J197+E197+F197=2,IF(Tabelle2[[#This Row],[Kappe Weiß]]=Limits!$R$29,1,""),"")</f>
        <v/>
      </c>
      <c r="C197" s="291">
        <v>1</v>
      </c>
      <c r="D197" s="171">
        <f>IF(Limits!$P$12=TRUE,1,0)</f>
        <v>0</v>
      </c>
      <c r="E197" s="172">
        <f>IF(Daten!$P197+Daten!$Q197+Daten!$S197=3,1,0)</f>
        <v>0</v>
      </c>
      <c r="F197" s="173">
        <f ca="1">IF(AND(Limits!$Q$21=TRUE,Daten!O197=1)=TRUE,1,0)</f>
        <v>0</v>
      </c>
      <c r="G197" s="174">
        <f>IF(AND(Limits!$Q$25=TRUE,Daten!N197=1)=TRUE,1,0)</f>
        <v>0</v>
      </c>
      <c r="H197" s="174">
        <f>IF(AND(Limits!$Q$24=TRUE,Daten!M197=1)=TRUE,1,0)</f>
        <v>0</v>
      </c>
      <c r="I197" s="174">
        <f>IF(AND(Limits!$Q$23=TRUE,Daten!L197=1)=TRUE,1,0)</f>
        <v>0</v>
      </c>
      <c r="J197" s="174">
        <f>IF(AND(Limits!$Q$22=TRUE,Daten!K197=1)=TRUE,1,0)</f>
        <v>0</v>
      </c>
      <c r="K197" s="188">
        <f>IF(Daten!$V197=13,1,0)</f>
        <v>0</v>
      </c>
      <c r="L197" s="189">
        <f>IF(Daten!$V197&lt;&gt;Daten!$W197,1,IF(Daten!$V197=14,1,0))</f>
        <v>0</v>
      </c>
      <c r="M197" s="189">
        <f>IF(Daten!$V197&lt;&gt;Daten!$W197,1,IF(Daten!$V197=16,1,0))</f>
        <v>1</v>
      </c>
      <c r="N197" s="189">
        <f>IF(Daten!$W197=17,1,0)</f>
        <v>0</v>
      </c>
      <c r="O197" s="190">
        <f ca="1">IF(Daten!$X197=Sprache!$A$70,1,0)</f>
        <v>0</v>
      </c>
      <c r="P197" s="191">
        <f>IF(AND(Daten!$AQ197&lt;=KINVARO!$AW$3,Daten!$AR197&gt;=KINVARO!$AW$3)=TRUE,1,0)</f>
        <v>1</v>
      </c>
      <c r="Q197" s="192">
        <f>IF(AND(Daten!$AA197&lt;=KINVARO!$AW$4,Daten!$AB197&gt;=KINVARO!$AW$4)=TRUE,1,0)</f>
        <v>0</v>
      </c>
      <c r="R197" s="192"/>
      <c r="S197" s="192">
        <f>IF(AND(Daten!$AD197&lt;=Limits!$I$70,Daten!$AE197&gt;=Limits!$I$70)=TRUE,1,0)</f>
        <v>0</v>
      </c>
      <c r="T197" s="193">
        <f ca="1">IF(Daten!$Y197=Sprache!$A$135,1,0)</f>
        <v>0</v>
      </c>
      <c r="U197" s="124" t="str">
        <f ca="1">Sprache!$A$62</f>
        <v>T-105 Коленчатый подъемник</v>
      </c>
      <c r="V197" s="194">
        <v>16</v>
      </c>
      <c r="W197" s="193">
        <v>16</v>
      </c>
      <c r="X197" s="187" t="str">
        <f ca="1">Sprache!$A$141</f>
        <v>Alu</v>
      </c>
      <c r="Y197" s="187" t="str">
        <f ca="1">Sprache!$A$136</f>
        <v>nein</v>
      </c>
      <c r="Z197" s="187" t="str">
        <f ca="1">Sprache!$A$79</f>
        <v>Створка</v>
      </c>
      <c r="AA197" s="187">
        <v>450</v>
      </c>
      <c r="AB197" s="124">
        <v>500</v>
      </c>
      <c r="AC197" s="187"/>
      <c r="AD197" s="195">
        <v>2.4</v>
      </c>
      <c r="AE197" s="196">
        <v>6.1</v>
      </c>
      <c r="AF197" s="263" t="str">
        <f>MID(Tabelle2[[#This Row],[bnr full]],1,4)</f>
        <v>F151</v>
      </c>
      <c r="AG197" s="264" t="str">
        <f>MID(Tabelle2[[#This Row],[bnr full]],5,3)</f>
        <v>145</v>
      </c>
      <c r="AH197" s="265" t="str">
        <f>MID(Tabelle2[[#This Row],[bnr full]],8,3)</f>
        <v>216</v>
      </c>
      <c r="AI197" s="264" t="str">
        <f>MID(Tabelle2[[#This Row],[bnr full]],11,3)</f>
        <v>201</v>
      </c>
      <c r="AJ197" s="252" t="str">
        <f>MID(Tabelle2[[#This Row],[bnr full]],11,3)</f>
        <v>201</v>
      </c>
      <c r="AK197" s="197" t="s">
        <v>788</v>
      </c>
      <c r="AL197" s="124" t="str">
        <f ca="1">Sprache!$A$112</f>
        <v>Правый</v>
      </c>
      <c r="AM197" s="187" t="str">
        <f ca="1">Sprache!$A$134</f>
        <v>2 коленчатых подъемника</v>
      </c>
      <c r="AN197" s="187" t="str">
        <f ca="1">Sprache!$A$125</f>
        <v>Пружина, стандарт</v>
      </c>
      <c r="AO197" s="187" t="str">
        <f ca="1">Sprache!$A$148</f>
        <v>Коленчатый подъемник Kinvaro T-105, правый</v>
      </c>
      <c r="AP197" s="187" t="s">
        <v>819</v>
      </c>
      <c r="AQ197" s="187">
        <f>Limits!$K$9</f>
        <v>200</v>
      </c>
      <c r="AR197" s="124">
        <v>1200</v>
      </c>
      <c r="AS197" s="187" t="str">
        <f ca="1">CONCATENATE("TIOMOS 110° ",Sprache!$A$150)</f>
        <v>TIOMOS 110° Шарнир для алюминиевой рамки</v>
      </c>
      <c r="AT197" s="187" t="str">
        <f ca="1">CONCATENATE("1D° ",Sprache!$A$149)</f>
        <v>1D° Монтажная плита</v>
      </c>
    </row>
    <row r="198" spans="1:55" hidden="1" x14ac:dyDescent="0.25">
      <c r="A198" s="12" t="str">
        <f ca="1">IF(F198+G198+H198+I198+J198+D198+E198=3,IF(Tabelle2[[#This Row],[Kappe Weiß]]=Limits!$R$29,1,""),"")</f>
        <v/>
      </c>
      <c r="B198" s="12" t="str">
        <f ca="1">IF(G198+H198+I198+J198+E198+F198=2,IF(Tabelle2[[#This Row],[Kappe Weiß]]=Limits!$R$29,1,""),"")</f>
        <v/>
      </c>
      <c r="C198" s="292">
        <v>1</v>
      </c>
      <c r="D198" s="171">
        <f>IF(Limits!$P$12=TRUE,1,0)</f>
        <v>0</v>
      </c>
      <c r="E198" s="172">
        <f>IF(Daten!$P198+Daten!$Q198+Daten!$S198=3,1,0)</f>
        <v>0</v>
      </c>
      <c r="F198" s="173">
        <f ca="1">IF(AND(Limits!$Q$21=TRUE,Daten!O198=1)=TRUE,1,0)</f>
        <v>1</v>
      </c>
      <c r="G198" s="174">
        <f ca="1">IF(AND(Limits!$Q$25=TRUE,Daten!N198=1)=TRUE,1,0)</f>
        <v>0</v>
      </c>
      <c r="H198" s="174">
        <f ca="1">IF(AND(Limits!$Q$24=TRUE,Daten!M198=1)=TRUE,1,0)</f>
        <v>0</v>
      </c>
      <c r="I198" s="174">
        <f ca="1">IF(AND(Limits!$Q$23=TRUE,Daten!L198=1)=TRUE,1,0)</f>
        <v>0</v>
      </c>
      <c r="J198" s="174">
        <f ca="1">IF(AND(Limits!$Q$22=TRUE,Daten!K198=1)=TRUE,1,0)</f>
        <v>0</v>
      </c>
      <c r="K198" s="188">
        <f ca="1">IF(Daten!$V198=13,1,0)</f>
        <v>0</v>
      </c>
      <c r="L198" s="189">
        <f ca="1">IF(Daten!$V198&lt;&gt;Daten!$W198,1,IF(Daten!$V198=14,1,0))</f>
        <v>0</v>
      </c>
      <c r="M198" s="189">
        <f ca="1">IF(Daten!$V198&lt;&gt;Daten!$W198,1,IF(Daten!$V198=16,1,0))</f>
        <v>0</v>
      </c>
      <c r="N198" s="189">
        <f ca="1">IF(Daten!$W198=17,1,0)</f>
        <v>0</v>
      </c>
      <c r="O198" s="190">
        <f ca="1">IF(Daten!$X198=Sprache!$A$70,1,0)</f>
        <v>1</v>
      </c>
      <c r="P198" s="198">
        <f>IF(AND(Daten!$AQ198&lt;=KINVARO!$AW$3,Daten!$AR198&gt;=KINVARO!$AW$3)=TRUE,1,0)</f>
        <v>1</v>
      </c>
      <c r="Q198" s="199">
        <f>IF(AND(Daten!$AA198&lt;=KINVARO!$AW$4,Daten!$AB198&gt;=KINVARO!$AW$4)=TRUE,1,0)</f>
        <v>0</v>
      </c>
      <c r="R198" s="199"/>
      <c r="S198" s="199">
        <f>IF(AND(Daten!$AD198&lt;=Limits!$I$70,Daten!$AE198&gt;=Limits!$I$70)=TRUE,1,0)</f>
        <v>0</v>
      </c>
      <c r="T198" s="200">
        <f ca="1">IF(Daten!$Y198=Sprache!$A$135,1,0)</f>
        <v>0</v>
      </c>
      <c r="U198" s="201" t="str">
        <f ca="1">Sprache!$A$62</f>
        <v>T-105 Коленчатый подъемник</v>
      </c>
      <c r="V198" s="202" t="str">
        <f ca="1">Sprache!$A$74</f>
        <v>var</v>
      </c>
      <c r="W198" s="200" t="str">
        <f ca="1">Sprache!$A$74</f>
        <v>var</v>
      </c>
      <c r="X198" s="203" t="str">
        <f ca="1">Sprache!$A$70</f>
        <v>соединение с древесиной</v>
      </c>
      <c r="Y198" s="187" t="str">
        <f ca="1">Sprache!$A$136</f>
        <v>nein</v>
      </c>
      <c r="Z198" s="203" t="str">
        <f ca="1">Sprache!$A$79</f>
        <v>Створка</v>
      </c>
      <c r="AA198" s="203">
        <v>500</v>
      </c>
      <c r="AB198" s="201">
        <v>500</v>
      </c>
      <c r="AC198" s="203"/>
      <c r="AD198" s="204">
        <v>1.1000000000000001</v>
      </c>
      <c r="AE198" s="205">
        <v>2.9</v>
      </c>
      <c r="AF198" s="266" t="str">
        <f>MID(Tabelle2[[#This Row],[bnr full]],1,4)</f>
        <v>F151</v>
      </c>
      <c r="AG198" s="267" t="str">
        <f>MID(Tabelle2[[#This Row],[bnr full]],5,3)</f>
        <v>145</v>
      </c>
      <c r="AH198" s="268" t="str">
        <f>MID(Tabelle2[[#This Row],[bnr full]],8,3)</f>
        <v>220</v>
      </c>
      <c r="AI198" s="267" t="str">
        <f>MID(Tabelle2[[#This Row],[bnr full]],11,3)</f>
        <v>201</v>
      </c>
      <c r="AJ198" s="253" t="str">
        <f>MID(Tabelle2[[#This Row],[bnr full]],11,3)</f>
        <v>201</v>
      </c>
      <c r="AK198" s="206" t="s">
        <v>785</v>
      </c>
      <c r="AL198" s="201" t="str">
        <f ca="1">Sprache!$A$112</f>
        <v>Правый</v>
      </c>
      <c r="AM198" s="203" t="str">
        <f ca="1">Sprache!$A$133</f>
        <v>1 коленчатый подъемник</v>
      </c>
      <c r="AN198" s="203" t="str">
        <f ca="1">Sprache!$A$125</f>
        <v>Пружина, стандарт</v>
      </c>
      <c r="AO198" s="203" t="str">
        <f ca="1">Sprache!$A$148</f>
        <v>Коленчатый подъемник Kinvaro T-105, правый</v>
      </c>
      <c r="AP198" s="203" t="s">
        <v>816</v>
      </c>
      <c r="AQ198" s="203">
        <f>Limits!$K$9</f>
        <v>200</v>
      </c>
      <c r="AR198" s="201">
        <v>1200</v>
      </c>
      <c r="AS198" s="187" t="str">
        <f ca="1">CONCATENATE("TIOMOS 110° ",Sprache!$A$98)</f>
        <v>TIOMOS 110° Шарнир</v>
      </c>
      <c r="AT198" s="187" t="str">
        <f ca="1">CONCATENATE("1D° ",Sprache!$A$149)</f>
        <v>1D° Монтажная плита</v>
      </c>
      <c r="AU198"/>
      <c r="AV198"/>
      <c r="AY198"/>
      <c r="AZ198"/>
      <c r="BA198"/>
      <c r="BB198"/>
      <c r="BC198"/>
    </row>
    <row r="199" spans="1:55" hidden="1" x14ac:dyDescent="0.25">
      <c r="A199" s="12" t="str">
        <f ca="1">IF(F199+G199+H199+I199+J199+D199+E199=3,IF(Tabelle2[[#This Row],[Kappe Weiß]]=Limits!$R$29,1,""),"")</f>
        <v/>
      </c>
      <c r="B199" s="12" t="str">
        <f ca="1">IF(G199+H199+I199+J199+E199+F199=2,IF(Tabelle2[[#This Row],[Kappe Weiß]]=Limits!$R$29,1,""),"")</f>
        <v/>
      </c>
      <c r="C199" s="291">
        <v>1</v>
      </c>
      <c r="D199" s="171">
        <f>IF(Limits!$P$12=TRUE,1,0)</f>
        <v>0</v>
      </c>
      <c r="E199" s="172">
        <f>IF(Daten!$P199+Daten!$Q199+Daten!$S199=3,1,0)</f>
        <v>0</v>
      </c>
      <c r="F199" s="173">
        <f ca="1">IF(AND(Limits!$Q$21=TRUE,Daten!O199=1)=TRUE,1,0)</f>
        <v>1</v>
      </c>
      <c r="G199" s="174">
        <f ca="1">IF(AND(Limits!$Q$25=TRUE,Daten!N199=1)=TRUE,1,0)</f>
        <v>0</v>
      </c>
      <c r="H199" s="174">
        <f ca="1">IF(AND(Limits!$Q$24=TRUE,Daten!M199=1)=TRUE,1,0)</f>
        <v>0</v>
      </c>
      <c r="I199" s="174">
        <f ca="1">IF(AND(Limits!$Q$23=TRUE,Daten!L199=1)=TRUE,1,0)</f>
        <v>0</v>
      </c>
      <c r="J199" s="174">
        <f ca="1">IF(AND(Limits!$Q$22=TRUE,Daten!K199=1)=TRUE,1,0)</f>
        <v>0</v>
      </c>
      <c r="K199" s="188">
        <f ca="1">IF(Daten!$V199=13,1,0)</f>
        <v>0</v>
      </c>
      <c r="L199" s="189">
        <f ca="1">IF(Daten!$V199&lt;&gt;Daten!$W199,1,IF(Daten!$V199=14,1,0))</f>
        <v>0</v>
      </c>
      <c r="M199" s="189">
        <f ca="1">IF(Daten!$V199&lt;&gt;Daten!$W199,1,IF(Daten!$V199=16,1,0))</f>
        <v>0</v>
      </c>
      <c r="N199" s="189">
        <f ca="1">IF(Daten!$W199=17,1,0)</f>
        <v>0</v>
      </c>
      <c r="O199" s="190">
        <f ca="1">IF(Daten!$X199=Sprache!$A$70,1,0)</f>
        <v>1</v>
      </c>
      <c r="P199" s="191">
        <f>IF(AND(Daten!$AQ199&lt;=KINVARO!$AW$3,Daten!$AR199&gt;=KINVARO!$AW$3)=TRUE,1,0)</f>
        <v>1</v>
      </c>
      <c r="Q199" s="192">
        <f>IF(AND(Daten!$AA199&lt;=KINVARO!$AW$4,Daten!$AB199&gt;=KINVARO!$AW$4)=TRUE,1,0)</f>
        <v>0</v>
      </c>
      <c r="R199" s="192"/>
      <c r="S199" s="192">
        <f>IF(AND(Daten!$AD199&lt;=Limits!$I$70,Daten!$AE199&gt;=Limits!$I$70)=TRUE,1,0)</f>
        <v>0</v>
      </c>
      <c r="T199" s="193">
        <f ca="1">IF(Daten!$Y199=Sprache!$A$135,1,0)</f>
        <v>0</v>
      </c>
      <c r="U199" s="124" t="str">
        <f ca="1">Sprache!$A$62</f>
        <v>T-105 Коленчатый подъемник</v>
      </c>
      <c r="V199" s="194" t="str">
        <f ca="1">Sprache!$A$74</f>
        <v>var</v>
      </c>
      <c r="W199" s="193" t="str">
        <f ca="1">Sprache!$A$74</f>
        <v>var</v>
      </c>
      <c r="X199" s="187" t="str">
        <f ca="1">Sprache!$A$70</f>
        <v>соединение с древесиной</v>
      </c>
      <c r="Y199" s="187" t="str">
        <f ca="1">Sprache!$A$136</f>
        <v>nein</v>
      </c>
      <c r="Z199" s="187" t="str">
        <f ca="1">Sprache!$A$79</f>
        <v>Створка</v>
      </c>
      <c r="AA199" s="187">
        <v>500</v>
      </c>
      <c r="AB199" s="124">
        <v>500</v>
      </c>
      <c r="AC199" s="187"/>
      <c r="AD199" s="195">
        <v>1.7</v>
      </c>
      <c r="AE199" s="196">
        <v>3.5</v>
      </c>
      <c r="AF199" s="263" t="str">
        <f>MID(Tabelle2[[#This Row],[bnr full]],1,4)</f>
        <v>F151</v>
      </c>
      <c r="AG199" s="264" t="str">
        <f>MID(Tabelle2[[#This Row],[bnr full]],5,3)</f>
        <v>145</v>
      </c>
      <c r="AH199" s="265" t="str">
        <f>MID(Tabelle2[[#This Row],[bnr full]],8,3)</f>
        <v>218</v>
      </c>
      <c r="AI199" s="264" t="str">
        <f>MID(Tabelle2[[#This Row],[bnr full]],11,3)</f>
        <v>201</v>
      </c>
      <c r="AJ199" s="252" t="str">
        <f>MID(Tabelle2[[#This Row],[bnr full]],11,3)</f>
        <v>201</v>
      </c>
      <c r="AK199" s="197" t="s">
        <v>786</v>
      </c>
      <c r="AL199" s="124" t="str">
        <f ca="1">Sprache!$A$112</f>
        <v>Правый</v>
      </c>
      <c r="AM199" s="187" t="str">
        <f ca="1">Sprache!$A$133</f>
        <v>1 коленчатый подъемник</v>
      </c>
      <c r="AN199" s="187" t="str">
        <f ca="1">Sprache!$A$126</f>
        <v>Пружина, черная</v>
      </c>
      <c r="AO199" s="187" t="str">
        <f ca="1">Sprache!$A$148</f>
        <v>Коленчатый подъемник Kinvaro T-105, правый</v>
      </c>
      <c r="AP199" s="187" t="s">
        <v>817</v>
      </c>
      <c r="AQ199" s="187">
        <f>Limits!$K$9</f>
        <v>200</v>
      </c>
      <c r="AR199" s="124">
        <v>1200</v>
      </c>
      <c r="AS199" s="187" t="str">
        <f ca="1">CONCATENATE("TIOMOS 110° ",Sprache!$A$98)</f>
        <v>TIOMOS 110° Шарнир</v>
      </c>
      <c r="AT199" s="187" t="str">
        <f ca="1">CONCATENATE("1D° ",Sprache!$A$149)</f>
        <v>1D° Монтажная плита</v>
      </c>
      <c r="AU199"/>
      <c r="AV199"/>
      <c r="AY199"/>
      <c r="AZ199"/>
      <c r="BA199"/>
      <c r="BB199"/>
      <c r="BC199"/>
    </row>
    <row r="200" spans="1:55" hidden="1" x14ac:dyDescent="0.25">
      <c r="A200" s="12" t="str">
        <f ca="1">IF(F200+G200+H200+I200+J200+D200+E200=3,IF(Tabelle2[[#This Row],[Kappe Weiß]]=Limits!$R$29,1,""),"")</f>
        <v/>
      </c>
      <c r="B200" s="12" t="str">
        <f ca="1">IF(G200+H200+I200+J200+E200+F200=2,IF(Tabelle2[[#This Row],[Kappe Weiß]]=Limits!$R$29,1,""),"")</f>
        <v/>
      </c>
      <c r="C200" s="291">
        <v>1</v>
      </c>
      <c r="D200" s="171">
        <f>IF(Limits!$P$12=TRUE,1,0)</f>
        <v>0</v>
      </c>
      <c r="E200" s="172">
        <f>IF(Daten!$P200+Daten!$Q200+Daten!$S200=3,1,0)</f>
        <v>0</v>
      </c>
      <c r="F200" s="173">
        <f ca="1">IF(AND(Limits!$Q$21=TRUE,Daten!O200=1)=TRUE,1,0)</f>
        <v>0</v>
      </c>
      <c r="G200" s="174">
        <f>IF(AND(Limits!$Q$25=TRUE,Daten!N200=1)=TRUE,1,0)</f>
        <v>0</v>
      </c>
      <c r="H200" s="174">
        <f>IF(AND(Limits!$Q$24=TRUE,Daten!M200=1)=TRUE,1,0)</f>
        <v>0</v>
      </c>
      <c r="I200" s="174">
        <f>IF(AND(Limits!$Q$23=TRUE,Daten!L200=1)=TRUE,1,0)</f>
        <v>0</v>
      </c>
      <c r="J200" s="174">
        <f>IF(AND(Limits!$Q$22=TRUE,Daten!K200=1)=TRUE,1,0)</f>
        <v>0</v>
      </c>
      <c r="K200" s="188">
        <f>IF(Daten!$V200=13,1,0)</f>
        <v>0</v>
      </c>
      <c r="L200" s="189">
        <f>IF(Daten!$V200&lt;&gt;Daten!$W200,1,IF(Daten!$V200=14,1,0))</f>
        <v>1</v>
      </c>
      <c r="M200" s="189">
        <f>IF(Daten!$V200&lt;&gt;Daten!$W200,1,IF(Daten!$V200=16,1,0))</f>
        <v>0</v>
      </c>
      <c r="N200" s="189">
        <f>IF(Daten!$W200=17,1,0)</f>
        <v>0</v>
      </c>
      <c r="O200" s="190">
        <f ca="1">IF(Daten!$X200=Sprache!$A$70,1,0)</f>
        <v>0</v>
      </c>
      <c r="P200" s="191">
        <f>IF(AND(Daten!$AQ200&lt;=KINVARO!$AW$3,Daten!$AR200&gt;=KINVARO!$AW$3)=TRUE,1,0)</f>
        <v>1</v>
      </c>
      <c r="Q200" s="192">
        <f>IF(AND(Daten!$AA200&lt;=KINVARO!$AW$4,Daten!$AB200&gt;=KINVARO!$AW$4)=TRUE,1,0)</f>
        <v>0</v>
      </c>
      <c r="R200" s="192"/>
      <c r="S200" s="192">
        <f>IF(AND(Daten!$AD200&lt;=Limits!$I$70,Daten!$AE200&gt;=Limits!$I$70)=TRUE,1,0)</f>
        <v>0</v>
      </c>
      <c r="T200" s="193">
        <f ca="1">IF(Daten!$Y200=Sprache!$A$135,1,0)</f>
        <v>0</v>
      </c>
      <c r="U200" s="124" t="str">
        <f ca="1">Sprache!$A$62</f>
        <v>T-105 Коленчатый подъемник</v>
      </c>
      <c r="V200" s="194">
        <v>14</v>
      </c>
      <c r="W200" s="193">
        <v>14</v>
      </c>
      <c r="X200" s="187" t="str">
        <f ca="1">Sprache!$A$141</f>
        <v>Alu</v>
      </c>
      <c r="Y200" s="187" t="str">
        <f ca="1">Sprache!$A$136</f>
        <v>nein</v>
      </c>
      <c r="Z200" s="187" t="str">
        <f ca="1">Sprache!$A$79</f>
        <v>Створка</v>
      </c>
      <c r="AA200" s="187">
        <v>500</v>
      </c>
      <c r="AB200" s="124">
        <v>500</v>
      </c>
      <c r="AC200" s="187"/>
      <c r="AD200" s="195">
        <v>1.1000000000000001</v>
      </c>
      <c r="AE200" s="196">
        <v>2.9</v>
      </c>
      <c r="AF200" s="263" t="str">
        <f>MID(Tabelle2[[#This Row],[bnr full]],1,4)</f>
        <v>F151</v>
      </c>
      <c r="AG200" s="264" t="str">
        <f>MID(Tabelle2[[#This Row],[bnr full]],5,3)</f>
        <v>145</v>
      </c>
      <c r="AH200" s="265" t="str">
        <f>MID(Tabelle2[[#This Row],[bnr full]],8,3)</f>
        <v>214</v>
      </c>
      <c r="AI200" s="264" t="str">
        <f>MID(Tabelle2[[#This Row],[bnr full]],11,3)</f>
        <v>201</v>
      </c>
      <c r="AJ200" s="252" t="str">
        <f>MID(Tabelle2[[#This Row],[bnr full]],11,3)</f>
        <v>201</v>
      </c>
      <c r="AK200" s="197" t="s">
        <v>787</v>
      </c>
      <c r="AL200" s="124" t="str">
        <f ca="1">Sprache!$A$112</f>
        <v>Правый</v>
      </c>
      <c r="AM200" s="187" t="str">
        <f ca="1">Sprache!$A$133</f>
        <v>1 коленчатый подъемник</v>
      </c>
      <c r="AN200" s="187" t="str">
        <f ca="1">Sprache!$A$125</f>
        <v>Пружина, стандарт</v>
      </c>
      <c r="AO200" s="187" t="str">
        <f ca="1">Sprache!$A$148</f>
        <v>Коленчатый подъемник Kinvaro T-105, правый</v>
      </c>
      <c r="AP200" s="187" t="s">
        <v>818</v>
      </c>
      <c r="AQ200" s="187">
        <f>Limits!$K$9</f>
        <v>200</v>
      </c>
      <c r="AR200" s="124">
        <v>1200</v>
      </c>
      <c r="AS200" s="187" t="str">
        <f ca="1">CONCATENATE("TIOMOS 110° ",Sprache!$A$150)</f>
        <v>TIOMOS 110° Шарнир для алюминиевой рамки</v>
      </c>
      <c r="AT200" s="187" t="str">
        <f ca="1">CONCATENATE("1D° ",Sprache!$A$149)</f>
        <v>1D° Монтажная плита</v>
      </c>
      <c r="AU200"/>
      <c r="AV200"/>
      <c r="AY200"/>
      <c r="AZ200"/>
      <c r="BA200"/>
      <c r="BB200"/>
      <c r="BC200"/>
    </row>
    <row r="201" spans="1:55" hidden="1" x14ac:dyDescent="0.25">
      <c r="A201" s="12" t="str">
        <f ca="1">IF(F201+G201+H201+I201+J201+D201+E201=3,IF(Tabelle2[[#This Row],[Kappe Weiß]]=Limits!$R$29,1,""),"")</f>
        <v/>
      </c>
      <c r="B201" s="12" t="str">
        <f ca="1">IF(G201+H201+I201+J201+E201+F201=2,IF(Tabelle2[[#This Row],[Kappe Weiß]]=Limits!$R$29,1,""),"")</f>
        <v/>
      </c>
      <c r="C201" s="291">
        <v>1</v>
      </c>
      <c r="D201" s="171">
        <f>IF(Limits!$P$12=TRUE,1,0)</f>
        <v>0</v>
      </c>
      <c r="E201" s="172">
        <f>IF(Daten!$P201+Daten!$Q201+Daten!$S201=3,1,0)</f>
        <v>0</v>
      </c>
      <c r="F201" s="173">
        <f ca="1">IF(AND(Limits!$Q$21=TRUE,Daten!O201=1)=TRUE,1,0)</f>
        <v>0</v>
      </c>
      <c r="G201" s="174">
        <f>IF(AND(Limits!$Q$25=TRUE,Daten!N201=1)=TRUE,1,0)</f>
        <v>0</v>
      </c>
      <c r="H201" s="174">
        <f>IF(AND(Limits!$Q$24=TRUE,Daten!M201=1)=TRUE,1,0)</f>
        <v>0</v>
      </c>
      <c r="I201" s="174">
        <f>IF(AND(Limits!$Q$23=TRUE,Daten!L201=1)=TRUE,1,0)</f>
        <v>0</v>
      </c>
      <c r="J201" s="174">
        <f>IF(AND(Limits!$Q$22=TRUE,Daten!K201=1)=TRUE,1,0)</f>
        <v>0</v>
      </c>
      <c r="K201" s="188">
        <f>IF(Daten!$V201=13,1,0)</f>
        <v>0</v>
      </c>
      <c r="L201" s="189">
        <f>IF(Daten!$V201&lt;&gt;Daten!$W201,1,IF(Daten!$V201=14,1,0))</f>
        <v>0</v>
      </c>
      <c r="M201" s="189">
        <f>IF(Daten!$V201&lt;&gt;Daten!$W201,1,IF(Daten!$V201=16,1,0))</f>
        <v>1</v>
      </c>
      <c r="N201" s="189">
        <f>IF(Daten!$W201=17,1,0)</f>
        <v>0</v>
      </c>
      <c r="O201" s="190">
        <f ca="1">IF(Daten!$X201=Sprache!$A$70,1,0)</f>
        <v>0</v>
      </c>
      <c r="P201" s="191">
        <f>IF(AND(Daten!$AQ201&lt;=KINVARO!$AW$3,Daten!$AR201&gt;=KINVARO!$AW$3)=TRUE,1,0)</f>
        <v>1</v>
      </c>
      <c r="Q201" s="192">
        <f>IF(AND(Daten!$AA201&lt;=KINVARO!$AW$4,Daten!$AB201&gt;=KINVARO!$AW$4)=TRUE,1,0)</f>
        <v>0</v>
      </c>
      <c r="R201" s="192"/>
      <c r="S201" s="192">
        <f>IF(AND(Daten!$AD201&lt;=Limits!$I$70,Daten!$AE201&gt;=Limits!$I$70)=TRUE,1,0)</f>
        <v>0</v>
      </c>
      <c r="T201" s="193">
        <f ca="1">IF(Daten!$Y201=Sprache!$A$135,1,0)</f>
        <v>0</v>
      </c>
      <c r="U201" s="124" t="str">
        <f ca="1">Sprache!$A$62</f>
        <v>T-105 Коленчатый подъемник</v>
      </c>
      <c r="V201" s="194">
        <v>16</v>
      </c>
      <c r="W201" s="193">
        <v>16</v>
      </c>
      <c r="X201" s="187" t="str">
        <f ca="1">Sprache!$A$141</f>
        <v>Alu</v>
      </c>
      <c r="Y201" s="187" t="str">
        <f ca="1">Sprache!$A$136</f>
        <v>nein</v>
      </c>
      <c r="Z201" s="187" t="str">
        <f ca="1">Sprache!$A$79</f>
        <v>Створка</v>
      </c>
      <c r="AA201" s="187">
        <v>500</v>
      </c>
      <c r="AB201" s="124">
        <v>500</v>
      </c>
      <c r="AC201" s="187"/>
      <c r="AD201" s="195">
        <v>1.1000000000000001</v>
      </c>
      <c r="AE201" s="196">
        <v>2.9</v>
      </c>
      <c r="AF201" s="263" t="str">
        <f>MID(Tabelle2[[#This Row],[bnr full]],1,4)</f>
        <v>F151</v>
      </c>
      <c r="AG201" s="264" t="str">
        <f>MID(Tabelle2[[#This Row],[bnr full]],5,3)</f>
        <v>145</v>
      </c>
      <c r="AH201" s="265" t="str">
        <f>MID(Tabelle2[[#This Row],[bnr full]],8,3)</f>
        <v>216</v>
      </c>
      <c r="AI201" s="264" t="str">
        <f>MID(Tabelle2[[#This Row],[bnr full]],11,3)</f>
        <v>201</v>
      </c>
      <c r="AJ201" s="252" t="str">
        <f>MID(Tabelle2[[#This Row],[bnr full]],11,3)</f>
        <v>201</v>
      </c>
      <c r="AK201" s="197" t="s">
        <v>788</v>
      </c>
      <c r="AL201" s="124" t="str">
        <f ca="1">Sprache!$A$112</f>
        <v>Правый</v>
      </c>
      <c r="AM201" s="187" t="str">
        <f ca="1">Sprache!$A$133</f>
        <v>1 коленчатый подъемник</v>
      </c>
      <c r="AN201" s="187" t="str">
        <f ca="1">Sprache!$A$125</f>
        <v>Пружина, стандарт</v>
      </c>
      <c r="AO201" s="187" t="str">
        <f ca="1">Sprache!$A$148</f>
        <v>Коленчатый подъемник Kinvaro T-105, правый</v>
      </c>
      <c r="AP201" s="187" t="s">
        <v>819</v>
      </c>
      <c r="AQ201" s="187">
        <f>Limits!$K$9</f>
        <v>200</v>
      </c>
      <c r="AR201" s="124">
        <v>1200</v>
      </c>
      <c r="AS201" s="187" t="str">
        <f ca="1">CONCATENATE("TIOMOS 110° ",Sprache!$A$150)</f>
        <v>TIOMOS 110° Шарнир для алюминиевой рамки</v>
      </c>
      <c r="AT201" s="187" t="str">
        <f ca="1">CONCATENATE("1D° ",Sprache!$A$149)</f>
        <v>1D° Монтажная плита</v>
      </c>
      <c r="AU201"/>
      <c r="AV201"/>
      <c r="AY201"/>
      <c r="AZ201"/>
      <c r="BA201"/>
      <c r="BB201"/>
      <c r="BC201"/>
    </row>
    <row r="202" spans="1:55" hidden="1" x14ac:dyDescent="0.25">
      <c r="A202" s="12" t="str">
        <f ca="1">IF(F202+G202+H202+I202+J202+D202+E202=3,IF(Tabelle2[[#This Row],[Kappe Weiß]]=Limits!$R$29,1,""),"")</f>
        <v/>
      </c>
      <c r="B202" s="12" t="str">
        <f ca="1">IF(G202+H202+I202+J202+E202+F202=2,IF(Tabelle2[[#This Row],[Kappe Weiß]]=Limits!$R$29,1,""),"")</f>
        <v/>
      </c>
      <c r="C202" s="291">
        <v>1</v>
      </c>
      <c r="D202" s="171">
        <f>IF(Limits!$P$12=TRUE,1,0)</f>
        <v>0</v>
      </c>
      <c r="E202" s="172">
        <f>IF(Daten!$P202+Daten!$Q202+Daten!$S202=3,1,0)</f>
        <v>0</v>
      </c>
      <c r="F202" s="173">
        <f ca="1">IF(AND(Limits!$Q$21=TRUE,Daten!O202=1)=TRUE,1,0)</f>
        <v>1</v>
      </c>
      <c r="G202" s="174">
        <f ca="1">IF(AND(Limits!$Q$25=TRUE,Daten!N202=1)=TRUE,1,0)</f>
        <v>0</v>
      </c>
      <c r="H202" s="174">
        <f ca="1">IF(AND(Limits!$Q$24=TRUE,Daten!M202=1)=TRUE,1,0)</f>
        <v>0</v>
      </c>
      <c r="I202" s="174">
        <f ca="1">IF(AND(Limits!$Q$23=TRUE,Daten!L202=1)=TRUE,1,0)</f>
        <v>0</v>
      </c>
      <c r="J202" s="174">
        <f ca="1">IF(AND(Limits!$Q$22=TRUE,Daten!K202=1)=TRUE,1,0)</f>
        <v>0</v>
      </c>
      <c r="K202" s="188">
        <f ca="1">IF(Daten!$V202=13,1,0)</f>
        <v>0</v>
      </c>
      <c r="L202" s="189">
        <f ca="1">IF(Daten!$V202&lt;&gt;Daten!$W202,1,IF(Daten!$V202=14,1,0))</f>
        <v>0</v>
      </c>
      <c r="M202" s="189">
        <f ca="1">IF(Daten!$V202&lt;&gt;Daten!$W202,1,IF(Daten!$V202=16,1,0))</f>
        <v>0</v>
      </c>
      <c r="N202" s="189">
        <f ca="1">IF(Daten!$W202=17,1,0)</f>
        <v>0</v>
      </c>
      <c r="O202" s="190">
        <f ca="1">IF(Daten!$X202=Sprache!$A$70,1,0)</f>
        <v>1</v>
      </c>
      <c r="P202" s="191">
        <f>IF(AND(Daten!$AQ202&lt;=KINVARO!$AW$3,Daten!$AR202&gt;=KINVARO!$AW$3)=TRUE,1,0)</f>
        <v>1</v>
      </c>
      <c r="Q202" s="192">
        <f>IF(AND(Daten!$AA202&lt;=KINVARO!$AW$4,Daten!$AB202&gt;=KINVARO!$AW$4)=TRUE,1,0)</f>
        <v>0</v>
      </c>
      <c r="R202" s="192"/>
      <c r="S202" s="192">
        <f>IF(AND(Daten!$AD202&lt;=Limits!$I$70,Daten!$AE202&gt;=Limits!$I$70)=TRUE,1,0)</f>
        <v>0</v>
      </c>
      <c r="T202" s="193">
        <f ca="1">IF(Daten!$Y202=Sprache!$A$135,1,0)</f>
        <v>0</v>
      </c>
      <c r="U202" s="124" t="str">
        <f ca="1">Sprache!$A$62</f>
        <v>T-105 Коленчатый подъемник</v>
      </c>
      <c r="V202" s="194" t="str">
        <f ca="1">Sprache!$A$74</f>
        <v>var</v>
      </c>
      <c r="W202" s="193" t="str">
        <f ca="1">Sprache!$A$74</f>
        <v>var</v>
      </c>
      <c r="X202" s="187" t="str">
        <f ca="1">Sprache!$A$70</f>
        <v>соединение с древесиной</v>
      </c>
      <c r="Y202" s="187" t="str">
        <f ca="1">Sprache!$A$136</f>
        <v>nein</v>
      </c>
      <c r="Z202" s="187" t="str">
        <f ca="1">Sprache!$A$79</f>
        <v>Створка</v>
      </c>
      <c r="AA202" s="187">
        <v>500</v>
      </c>
      <c r="AB202" s="124">
        <v>500</v>
      </c>
      <c r="AC202" s="187"/>
      <c r="AD202" s="195">
        <v>2.2000000000000002</v>
      </c>
      <c r="AE202" s="196">
        <v>5.8</v>
      </c>
      <c r="AF202" s="263" t="str">
        <f>MID(Tabelle2[[#This Row],[bnr full]],1,4)</f>
        <v>F151</v>
      </c>
      <c r="AG202" s="264" t="str">
        <f>MID(Tabelle2[[#This Row],[bnr full]],5,3)</f>
        <v>145</v>
      </c>
      <c r="AH202" s="265" t="str">
        <f>MID(Tabelle2[[#This Row],[bnr full]],8,3)</f>
        <v>220</v>
      </c>
      <c r="AI202" s="264" t="str">
        <f>MID(Tabelle2[[#This Row],[bnr full]],11,3)</f>
        <v>201</v>
      </c>
      <c r="AJ202" s="252" t="str">
        <f>MID(Tabelle2[[#This Row],[bnr full]],11,3)</f>
        <v>201</v>
      </c>
      <c r="AK202" s="197" t="s">
        <v>785</v>
      </c>
      <c r="AL202" s="124" t="str">
        <f ca="1">Sprache!$A$112</f>
        <v>Правый</v>
      </c>
      <c r="AM202" s="187" t="str">
        <f ca="1">Sprache!$A$134</f>
        <v>2 коленчатых подъемника</v>
      </c>
      <c r="AN202" s="187" t="str">
        <f ca="1">Sprache!$A$125</f>
        <v>Пружина, стандарт</v>
      </c>
      <c r="AO202" s="187" t="str">
        <f ca="1">Sprache!$A$148</f>
        <v>Коленчатый подъемник Kinvaro T-105, правый</v>
      </c>
      <c r="AP202" s="187" t="s">
        <v>816</v>
      </c>
      <c r="AQ202" s="187">
        <f>Limits!$K$9</f>
        <v>200</v>
      </c>
      <c r="AR202" s="124">
        <v>1200</v>
      </c>
      <c r="AS202" s="187" t="str">
        <f ca="1">CONCATENATE("TIOMOS 110° ",Sprache!$A$98)</f>
        <v>TIOMOS 110° Шарнир</v>
      </c>
      <c r="AT202" s="187" t="str">
        <f ca="1">CONCATENATE("1D° ",Sprache!$A$149)</f>
        <v>1D° Монтажная плита</v>
      </c>
      <c r="AU202"/>
      <c r="AV202"/>
      <c r="AY202"/>
      <c r="AZ202"/>
      <c r="BA202"/>
      <c r="BB202"/>
      <c r="BC202"/>
    </row>
    <row r="203" spans="1:55" hidden="1" x14ac:dyDescent="0.25">
      <c r="A203" s="12" t="str">
        <f ca="1">IF(F203+G203+H203+I203+J203+D203+E203=3,IF(Tabelle2[[#This Row],[Kappe Weiß]]=Limits!$R$29,1,""),"")</f>
        <v/>
      </c>
      <c r="B203" s="12" t="str">
        <f ca="1">IF(G203+H203+I203+J203+E203+F203=2,IF(Tabelle2[[#This Row],[Kappe Weiß]]=Limits!$R$29,1,""),"")</f>
        <v/>
      </c>
      <c r="C203" s="291">
        <v>1</v>
      </c>
      <c r="D203" s="171">
        <f>IF(Limits!$P$12=TRUE,1,0)</f>
        <v>0</v>
      </c>
      <c r="E203" s="172">
        <f>IF(Daten!$P203+Daten!$Q203+Daten!$S203=3,1,0)</f>
        <v>0</v>
      </c>
      <c r="F203" s="173">
        <f ca="1">IF(AND(Limits!$Q$21=TRUE,Daten!O203=1)=TRUE,1,0)</f>
        <v>1</v>
      </c>
      <c r="G203" s="174">
        <f ca="1">IF(AND(Limits!$Q$25=TRUE,Daten!N203=1)=TRUE,1,0)</f>
        <v>0</v>
      </c>
      <c r="H203" s="174">
        <f ca="1">IF(AND(Limits!$Q$24=TRUE,Daten!M203=1)=TRUE,1,0)</f>
        <v>0</v>
      </c>
      <c r="I203" s="174">
        <f ca="1">IF(AND(Limits!$Q$23=TRUE,Daten!L203=1)=TRUE,1,0)</f>
        <v>0</v>
      </c>
      <c r="J203" s="174">
        <f ca="1">IF(AND(Limits!$Q$22=TRUE,Daten!K203=1)=TRUE,1,0)</f>
        <v>0</v>
      </c>
      <c r="K203" s="188">
        <f ca="1">IF(Daten!$V203=13,1,0)</f>
        <v>0</v>
      </c>
      <c r="L203" s="189">
        <f ca="1">IF(Daten!$V203&lt;&gt;Daten!$W203,1,IF(Daten!$V203=14,1,0))</f>
        <v>0</v>
      </c>
      <c r="M203" s="189">
        <f ca="1">IF(Daten!$V203&lt;&gt;Daten!$W203,1,IF(Daten!$V203=16,1,0))</f>
        <v>0</v>
      </c>
      <c r="N203" s="189">
        <f ca="1">IF(Daten!$W203=17,1,0)</f>
        <v>0</v>
      </c>
      <c r="O203" s="190">
        <f ca="1">IF(Daten!$X203=Sprache!$A$70,1,0)</f>
        <v>1</v>
      </c>
      <c r="P203" s="191">
        <f>IF(AND(Daten!$AQ203&lt;=KINVARO!$AW$3,Daten!$AR203&gt;=KINVARO!$AW$3)=TRUE,1,0)</f>
        <v>1</v>
      </c>
      <c r="Q203" s="192">
        <f>IF(AND(Daten!$AA203&lt;=KINVARO!$AW$4,Daten!$AB203&gt;=KINVARO!$AW$4)=TRUE,1,0)</f>
        <v>0</v>
      </c>
      <c r="R203" s="192"/>
      <c r="S203" s="192">
        <f>IF(AND(Daten!$AD203&lt;=Limits!$I$70,Daten!$AE203&gt;=Limits!$I$70)=TRUE,1,0)</f>
        <v>0</v>
      </c>
      <c r="T203" s="193">
        <f ca="1">IF(Daten!$Y203=Sprache!$A$135,1,0)</f>
        <v>0</v>
      </c>
      <c r="U203" s="124" t="str">
        <f ca="1">Sprache!$A$62</f>
        <v>T-105 Коленчатый подъемник</v>
      </c>
      <c r="V203" s="194" t="str">
        <f ca="1">Sprache!$A$74</f>
        <v>var</v>
      </c>
      <c r="W203" s="193" t="str">
        <f ca="1">Sprache!$A$74</f>
        <v>var</v>
      </c>
      <c r="X203" s="187" t="str">
        <f ca="1">Sprache!$A$70</f>
        <v>соединение с древесиной</v>
      </c>
      <c r="Y203" s="187" t="str">
        <f ca="1">Sprache!$A$136</f>
        <v>nein</v>
      </c>
      <c r="Z203" s="187" t="str">
        <f ca="1">Sprache!$A$79</f>
        <v>Створка</v>
      </c>
      <c r="AA203" s="187">
        <v>500</v>
      </c>
      <c r="AB203" s="124">
        <v>500</v>
      </c>
      <c r="AC203" s="187"/>
      <c r="AD203" s="195">
        <v>3.3</v>
      </c>
      <c r="AE203" s="196">
        <v>6.7</v>
      </c>
      <c r="AF203" s="263" t="str">
        <f>MID(Tabelle2[[#This Row],[bnr full]],1,4)</f>
        <v>F151</v>
      </c>
      <c r="AG203" s="264" t="str">
        <f>MID(Tabelle2[[#This Row],[bnr full]],5,3)</f>
        <v>145</v>
      </c>
      <c r="AH203" s="265" t="str">
        <f>MID(Tabelle2[[#This Row],[bnr full]],8,3)</f>
        <v>218</v>
      </c>
      <c r="AI203" s="264" t="str">
        <f>MID(Tabelle2[[#This Row],[bnr full]],11,3)</f>
        <v>201</v>
      </c>
      <c r="AJ203" s="252" t="str">
        <f>MID(Tabelle2[[#This Row],[bnr full]],11,3)</f>
        <v>201</v>
      </c>
      <c r="AK203" s="197" t="s">
        <v>786</v>
      </c>
      <c r="AL203" s="124" t="str">
        <f ca="1">Sprache!$A$112</f>
        <v>Правый</v>
      </c>
      <c r="AM203" s="187" t="str">
        <f ca="1">Sprache!$A$134</f>
        <v>2 коленчатых подъемника</v>
      </c>
      <c r="AN203" s="187" t="str">
        <f ca="1">Sprache!$A$126</f>
        <v>Пружина, черная</v>
      </c>
      <c r="AO203" s="187" t="str">
        <f ca="1">Sprache!$A$148</f>
        <v>Коленчатый подъемник Kinvaro T-105, правый</v>
      </c>
      <c r="AP203" s="187" t="s">
        <v>817</v>
      </c>
      <c r="AQ203" s="187">
        <f>Limits!$K$9</f>
        <v>200</v>
      </c>
      <c r="AR203" s="124">
        <v>1200</v>
      </c>
      <c r="AS203" s="187" t="str">
        <f ca="1">CONCATENATE("TIOMOS 110° ",Sprache!$A$98)</f>
        <v>TIOMOS 110° Шарнир</v>
      </c>
      <c r="AT203" s="187" t="str">
        <f ca="1">CONCATENATE("1D° ",Sprache!$A$149)</f>
        <v>1D° Монтажная плита</v>
      </c>
      <c r="AU203"/>
      <c r="AV203"/>
      <c r="AY203"/>
      <c r="AZ203"/>
      <c r="BA203"/>
      <c r="BB203"/>
      <c r="BC203"/>
    </row>
    <row r="204" spans="1:55" hidden="1" x14ac:dyDescent="0.25">
      <c r="A204" s="12" t="str">
        <f ca="1">IF(F204+G204+H204+I204+J204+D204+E204=3,IF(Tabelle2[[#This Row],[Kappe Weiß]]=Limits!$R$29,1,""),"")</f>
        <v/>
      </c>
      <c r="B204" s="12" t="str">
        <f ca="1">IF(G204+H204+I204+J204+E204+F204=2,IF(Tabelle2[[#This Row],[Kappe Weiß]]=Limits!$R$29,1,""),"")</f>
        <v/>
      </c>
      <c r="C204" s="291">
        <v>1</v>
      </c>
      <c r="D204" s="171">
        <f>IF(Limits!$P$12=TRUE,1,0)</f>
        <v>0</v>
      </c>
      <c r="E204" s="172">
        <f>IF(Daten!$P204+Daten!$Q204+Daten!$S204=3,1,0)</f>
        <v>0</v>
      </c>
      <c r="F204" s="173">
        <f ca="1">IF(AND(Limits!$Q$21=TRUE,Daten!O204=1)=TRUE,1,0)</f>
        <v>0</v>
      </c>
      <c r="G204" s="174">
        <f>IF(AND(Limits!$Q$25=TRUE,Daten!N204=1)=TRUE,1,0)</f>
        <v>0</v>
      </c>
      <c r="H204" s="174">
        <f>IF(AND(Limits!$Q$24=TRUE,Daten!M204=1)=TRUE,1,0)</f>
        <v>0</v>
      </c>
      <c r="I204" s="174">
        <f>IF(AND(Limits!$Q$23=TRUE,Daten!L204=1)=TRUE,1,0)</f>
        <v>0</v>
      </c>
      <c r="J204" s="174">
        <f>IF(AND(Limits!$Q$22=TRUE,Daten!K204=1)=TRUE,1,0)</f>
        <v>0</v>
      </c>
      <c r="K204" s="188">
        <f>IF(Daten!$V204=13,1,0)</f>
        <v>0</v>
      </c>
      <c r="L204" s="189">
        <f>IF(Daten!$V204&lt;&gt;Daten!$W204,1,IF(Daten!$V204=14,1,0))</f>
        <v>1</v>
      </c>
      <c r="M204" s="189">
        <f>IF(Daten!$V204&lt;&gt;Daten!$W204,1,IF(Daten!$V204=16,1,0))</f>
        <v>0</v>
      </c>
      <c r="N204" s="189">
        <f>IF(Daten!$W204=17,1,0)</f>
        <v>0</v>
      </c>
      <c r="O204" s="190">
        <f ca="1">IF(Daten!$X204=Sprache!$A$70,1,0)</f>
        <v>0</v>
      </c>
      <c r="P204" s="191">
        <f>IF(AND(Daten!$AQ204&lt;=KINVARO!$AW$3,Daten!$AR204&gt;=KINVARO!$AW$3)=TRUE,1,0)</f>
        <v>1</v>
      </c>
      <c r="Q204" s="192">
        <f>IF(AND(Daten!$AA204&lt;=KINVARO!$AW$4,Daten!$AB204&gt;=KINVARO!$AW$4)=TRUE,1,0)</f>
        <v>0</v>
      </c>
      <c r="R204" s="192"/>
      <c r="S204" s="192">
        <f>IF(AND(Daten!$AD204&lt;=Limits!$I$70,Daten!$AE204&gt;=Limits!$I$70)=TRUE,1,0)</f>
        <v>0</v>
      </c>
      <c r="T204" s="193">
        <f ca="1">IF(Daten!$Y204=Sprache!$A$135,1,0)</f>
        <v>0</v>
      </c>
      <c r="U204" s="124" t="str">
        <f ca="1">Sprache!$A$62</f>
        <v>T-105 Коленчатый подъемник</v>
      </c>
      <c r="V204" s="194">
        <v>14</v>
      </c>
      <c r="W204" s="193">
        <v>14</v>
      </c>
      <c r="X204" s="187" t="str">
        <f ca="1">Sprache!$A$141</f>
        <v>Alu</v>
      </c>
      <c r="Y204" s="187" t="str">
        <f ca="1">Sprache!$A$136</f>
        <v>nein</v>
      </c>
      <c r="Z204" s="187" t="str">
        <f ca="1">Sprache!$A$79</f>
        <v>Створка</v>
      </c>
      <c r="AA204" s="187">
        <v>500</v>
      </c>
      <c r="AB204" s="124">
        <v>500</v>
      </c>
      <c r="AC204" s="187"/>
      <c r="AD204" s="195">
        <v>2.2000000000000002</v>
      </c>
      <c r="AE204" s="196">
        <v>5.8</v>
      </c>
      <c r="AF204" s="263" t="str">
        <f>MID(Tabelle2[[#This Row],[bnr full]],1,4)</f>
        <v>F151</v>
      </c>
      <c r="AG204" s="264" t="str">
        <f>MID(Tabelle2[[#This Row],[bnr full]],5,3)</f>
        <v>145</v>
      </c>
      <c r="AH204" s="265" t="str">
        <f>MID(Tabelle2[[#This Row],[bnr full]],8,3)</f>
        <v>214</v>
      </c>
      <c r="AI204" s="264" t="str">
        <f>MID(Tabelle2[[#This Row],[bnr full]],11,3)</f>
        <v>201</v>
      </c>
      <c r="AJ204" s="252" t="str">
        <f>MID(Tabelle2[[#This Row],[bnr full]],11,3)</f>
        <v>201</v>
      </c>
      <c r="AK204" s="197" t="s">
        <v>787</v>
      </c>
      <c r="AL204" s="124" t="str">
        <f ca="1">Sprache!$A$112</f>
        <v>Правый</v>
      </c>
      <c r="AM204" s="187" t="str">
        <f ca="1">Sprache!$A$134</f>
        <v>2 коленчатых подъемника</v>
      </c>
      <c r="AN204" s="187" t="str">
        <f ca="1">Sprache!$A$125</f>
        <v>Пружина, стандарт</v>
      </c>
      <c r="AO204" s="187" t="str">
        <f ca="1">Sprache!$A$148</f>
        <v>Коленчатый подъемник Kinvaro T-105, правый</v>
      </c>
      <c r="AP204" s="187" t="s">
        <v>818</v>
      </c>
      <c r="AQ204" s="187">
        <f>Limits!$K$9</f>
        <v>200</v>
      </c>
      <c r="AR204" s="124">
        <v>1200</v>
      </c>
      <c r="AS204" s="187" t="str">
        <f ca="1">CONCATENATE("TIOMOS 110° ",Sprache!$A$150)</f>
        <v>TIOMOS 110° Шарнир для алюминиевой рамки</v>
      </c>
      <c r="AT204" s="187" t="str">
        <f ca="1">CONCATENATE("1D° ",Sprache!$A$149)</f>
        <v>1D° Монтажная плита</v>
      </c>
      <c r="AU204"/>
      <c r="AV204"/>
      <c r="AY204"/>
      <c r="AZ204"/>
      <c r="BA204"/>
      <c r="BB204"/>
      <c r="BC204"/>
    </row>
    <row r="205" spans="1:55" hidden="1" x14ac:dyDescent="0.25">
      <c r="A205" s="12" t="str">
        <f ca="1">IF(F205+G205+H205+I205+J205+D205+E205=3,IF(Tabelle2[[#This Row],[Kappe Weiß]]=Limits!$R$29,1,""),"")</f>
        <v/>
      </c>
      <c r="B205" s="12" t="str">
        <f ca="1">IF(G205+H205+I205+J205+E205+F205=2,IF(Tabelle2[[#This Row],[Kappe Weiß]]=Limits!$R$29,1,""),"")</f>
        <v/>
      </c>
      <c r="C205" s="291">
        <v>1</v>
      </c>
      <c r="D205" s="207">
        <f>IF(Limits!$P$12=TRUE,1,0)</f>
        <v>0</v>
      </c>
      <c r="E205" s="172">
        <f>IF(Daten!$P205+Daten!$Q205+Daten!$S205=3,1,0)</f>
        <v>0</v>
      </c>
      <c r="F205" s="173">
        <f ca="1">IF(AND(Limits!$Q$21=TRUE,Daten!O205=1)=TRUE,1,0)</f>
        <v>0</v>
      </c>
      <c r="G205" s="174">
        <f>IF(AND(Limits!$Q$25=TRUE,Daten!N205=1)=TRUE,1,0)</f>
        <v>0</v>
      </c>
      <c r="H205" s="174">
        <f>IF(AND(Limits!$Q$24=TRUE,Daten!M205=1)=TRUE,1,0)</f>
        <v>0</v>
      </c>
      <c r="I205" s="174">
        <f>IF(AND(Limits!$Q$23=TRUE,Daten!L205=1)=TRUE,1,0)</f>
        <v>0</v>
      </c>
      <c r="J205" s="174">
        <f>IF(AND(Limits!$Q$22=TRUE,Daten!K205=1)=TRUE,1,0)</f>
        <v>0</v>
      </c>
      <c r="K205" s="188">
        <f>IF(Daten!$V205=13,1,0)</f>
        <v>0</v>
      </c>
      <c r="L205" s="189">
        <f>IF(Daten!$V205&lt;&gt;Daten!$W205,1,IF(Daten!$V205=14,1,0))</f>
        <v>0</v>
      </c>
      <c r="M205" s="189">
        <f>IF(Daten!$V205&lt;&gt;Daten!$W205,1,IF(Daten!$V205=16,1,0))</f>
        <v>1</v>
      </c>
      <c r="N205" s="189">
        <f>IF(Daten!$W205=17,1,0)</f>
        <v>0</v>
      </c>
      <c r="O205" s="190">
        <f ca="1">IF(Daten!$X205=Sprache!$A$70,1,0)</f>
        <v>0</v>
      </c>
      <c r="P205" s="191">
        <f>IF(AND(Daten!$AQ205&lt;=KINVARO!$AW$3,Daten!$AR205&gt;=KINVARO!$AW$3)=TRUE,1,0)</f>
        <v>1</v>
      </c>
      <c r="Q205" s="192">
        <f>IF(AND(Daten!$AA205&lt;=KINVARO!$AW$4,Daten!$AB205&gt;=KINVARO!$AW$4)=TRUE,1,0)</f>
        <v>0</v>
      </c>
      <c r="R205" s="192"/>
      <c r="S205" s="192">
        <f>IF(AND(Daten!$AD205&lt;=Limits!$I$70,Daten!$AE205&gt;=Limits!$I$70)=TRUE,1,0)</f>
        <v>0</v>
      </c>
      <c r="T205" s="193">
        <f ca="1">IF(Daten!$Y205=Sprache!$A$135,1,0)</f>
        <v>0</v>
      </c>
      <c r="U205" s="124" t="str">
        <f ca="1">Sprache!$A$62</f>
        <v>T-105 Коленчатый подъемник</v>
      </c>
      <c r="V205" s="194">
        <v>16</v>
      </c>
      <c r="W205" s="193">
        <v>16</v>
      </c>
      <c r="X205" s="187" t="str">
        <f ca="1">Sprache!$A$141</f>
        <v>Alu</v>
      </c>
      <c r="Y205" s="187" t="str">
        <f ca="1">Sprache!$A$136</f>
        <v>nein</v>
      </c>
      <c r="Z205" s="187" t="str">
        <f ca="1">Sprache!$A$79</f>
        <v>Створка</v>
      </c>
      <c r="AA205" s="187">
        <v>500</v>
      </c>
      <c r="AB205" s="124">
        <v>500</v>
      </c>
      <c r="AC205" s="187"/>
      <c r="AD205" s="195">
        <v>2.2000000000000002</v>
      </c>
      <c r="AE205" s="196">
        <v>5.8</v>
      </c>
      <c r="AF205" s="263" t="str">
        <f>MID(Tabelle2[[#This Row],[bnr full]],1,4)</f>
        <v>F151</v>
      </c>
      <c r="AG205" s="264" t="str">
        <f>MID(Tabelle2[[#This Row],[bnr full]],5,3)</f>
        <v>145</v>
      </c>
      <c r="AH205" s="265" t="str">
        <f>MID(Tabelle2[[#This Row],[bnr full]],8,3)</f>
        <v>216</v>
      </c>
      <c r="AI205" s="264" t="str">
        <f>MID(Tabelle2[[#This Row],[bnr full]],11,3)</f>
        <v>201</v>
      </c>
      <c r="AJ205" s="252" t="str">
        <f>MID(Tabelle2[[#This Row],[bnr full]],11,3)</f>
        <v>201</v>
      </c>
      <c r="AK205" s="197" t="s">
        <v>788</v>
      </c>
      <c r="AL205" s="124" t="str">
        <f ca="1">Sprache!$A$112</f>
        <v>Правый</v>
      </c>
      <c r="AM205" s="187" t="str">
        <f ca="1">Sprache!$A$134</f>
        <v>2 коленчатых подъемника</v>
      </c>
      <c r="AN205" s="187" t="str">
        <f ca="1">Sprache!$A$125</f>
        <v>Пружина, стандарт</v>
      </c>
      <c r="AO205" s="187" t="str">
        <f ca="1">Sprache!$A$148</f>
        <v>Коленчатый подъемник Kinvaro T-105, правый</v>
      </c>
      <c r="AP205" s="187" t="s">
        <v>819</v>
      </c>
      <c r="AQ205" s="187">
        <f>Limits!$K$9</f>
        <v>200</v>
      </c>
      <c r="AR205" s="124">
        <v>1200</v>
      </c>
      <c r="AS205" s="187" t="str">
        <f ca="1">CONCATENATE("TIOMOS 110° ",Sprache!$A$150)</f>
        <v>TIOMOS 110° Шарнир для алюминиевой рамки</v>
      </c>
      <c r="AT205" s="187" t="str">
        <f ca="1">CONCATENATE("1D° ",Sprache!$A$149)</f>
        <v>1D° Монтажная плита</v>
      </c>
      <c r="AU205"/>
      <c r="AV205"/>
      <c r="AY205"/>
      <c r="AZ205"/>
      <c r="BA205"/>
      <c r="BB205"/>
      <c r="BC205"/>
    </row>
    <row r="206" spans="1:55" ht="15.75" hidden="1" thickTop="1" x14ac:dyDescent="0.25">
      <c r="A206" s="12" t="str">
        <f ca="1">IF(F206+G206+H206+I206+J206+D206+E206=3,IF(Tabelle2[[#This Row],[Kappe Weiß]]=Limits!$R$29,1,""),"")</f>
        <v/>
      </c>
      <c r="B206" s="12" t="str">
        <f ca="1">IF(G206+H206+I206+J206+E206+F206=2,IF(Tabelle2[[#This Row],[Kappe Weiß]]=Limits!$R$29,1,""),"")</f>
        <v/>
      </c>
      <c r="C206" s="293">
        <v>0</v>
      </c>
      <c r="D206" s="171">
        <f>IF(Limits!$P$11=TRUE,1,0)</f>
        <v>0</v>
      </c>
      <c r="E206" s="172">
        <f>IF(Daten!$P206+Daten!$Q206+Daten!$S206=3,1,0)</f>
        <v>0</v>
      </c>
      <c r="F206" s="173">
        <f ca="1">IF(AND(Limits!$Q$21=TRUE,Daten!O206=1)=TRUE,1,0)</f>
        <v>1</v>
      </c>
      <c r="G206" s="174">
        <f ca="1">IF(AND(Limits!$Q$25=TRUE,Daten!N206=1)=TRUE,1,0)</f>
        <v>0</v>
      </c>
      <c r="H206" s="174">
        <f ca="1">IF(AND(Limits!$Q$24=TRUE,Daten!M206=1)=TRUE,1,0)</f>
        <v>0</v>
      </c>
      <c r="I206" s="174">
        <f ca="1">IF(AND(Limits!$Q$23=TRUE,Daten!L206=1)=TRUE,1,0)</f>
        <v>0</v>
      </c>
      <c r="J206" s="174">
        <f ca="1">IF(AND(Limits!$Q$22=TRUE,Daten!K206=1)=TRUE,1,0)</f>
        <v>0</v>
      </c>
      <c r="K206" s="188">
        <f ca="1">IF(Daten!$V206=13,1,0)</f>
        <v>0</v>
      </c>
      <c r="L206" s="189">
        <f ca="1">IF(Daten!$V206&lt;&gt;Daten!$W206,1,IF(Daten!$V206=14,1,0))</f>
        <v>0</v>
      </c>
      <c r="M206" s="189">
        <f ca="1">IF(Daten!$V206&lt;&gt;Daten!$W206,1,IF(Daten!$V206=16,1,0))</f>
        <v>0</v>
      </c>
      <c r="N206" s="189">
        <f ca="1">IF(Daten!$W206=17,1,0)</f>
        <v>0</v>
      </c>
      <c r="O206" s="190">
        <f ca="1">IF(Daten!$X206=Sprache!$A$70,1,0)</f>
        <v>1</v>
      </c>
      <c r="P206" s="208">
        <f>IF(AND(Daten!$AQ206&lt;=KINVARO!$AW$3,Daten!$AR206&gt;=KINVARO!$AW$3)=TRUE,1,0)</f>
        <v>1</v>
      </c>
      <c r="Q206" s="209">
        <f>IF(AND(Daten!$AA206&lt;=KINVARO!$AW$4,Daten!$AB206&gt;=KINVARO!$AW$4)=TRUE,1,0)</f>
        <v>0</v>
      </c>
      <c r="R206" s="209"/>
      <c r="S206" s="209">
        <f>IF(AND(Daten!$AD206&lt;=Limits!$I$70,Daten!$AE206&gt;=Limits!$I$70)=TRUE,1,0)</f>
        <v>0</v>
      </c>
      <c r="T206" s="210">
        <f ca="1">IF(Daten!$Y206=Sprache!$A$135,1,0)</f>
        <v>0</v>
      </c>
      <c r="U206" s="211" t="str">
        <f ca="1">Sprache!$A$63</f>
        <v>T-57 Поворотный подъемник</v>
      </c>
      <c r="V206" s="212" t="str">
        <f ca="1">Sprache!$A$74</f>
        <v>var</v>
      </c>
      <c r="W206" s="210" t="str">
        <f ca="1">Sprache!$A$74</f>
        <v>var</v>
      </c>
      <c r="X206" s="213" t="str">
        <f ca="1">Sprache!$A$70</f>
        <v>соединение с древесиной</v>
      </c>
      <c r="Y206" s="187" t="str">
        <f ca="1">Sprache!$A$136</f>
        <v>nein</v>
      </c>
      <c r="Z206" s="213" t="str">
        <f ca="1">Sprache!$A$79</f>
        <v>Створка</v>
      </c>
      <c r="AA206" s="213">
        <v>300</v>
      </c>
      <c r="AB206" s="211">
        <v>349</v>
      </c>
      <c r="AC206" s="213">
        <v>19</v>
      </c>
      <c r="AD206" s="214">
        <v>1</v>
      </c>
      <c r="AE206" s="215">
        <v>6.2</v>
      </c>
      <c r="AF206" s="269" t="str">
        <f>MID(Tabelle2[[#This Row],[bnr full]],1,4)</f>
        <v>F151</v>
      </c>
      <c r="AG206" s="270" t="str">
        <f>MID(Tabelle2[[#This Row],[bnr full]],5,3)</f>
        <v>145</v>
      </c>
      <c r="AH206" s="271" t="str">
        <f>MID(Tabelle2[[#This Row],[bnr full]],8,3)</f>
        <v>224</v>
      </c>
      <c r="AI206" s="270" t="str">
        <f>MID(Tabelle2[[#This Row],[bnr full]],11,3)</f>
        <v>201</v>
      </c>
      <c r="AJ206" s="254" t="str">
        <f>MID(Tabelle2[[#This Row],[bnr full]],11,3)</f>
        <v>201</v>
      </c>
      <c r="AK206" s="216" t="s">
        <v>789</v>
      </c>
      <c r="AL206" s="211" t="str">
        <f ca="1">Sprache!$A$111</f>
        <v>Комплект (Л + П)</v>
      </c>
      <c r="AM206" s="213" t="s">
        <v>25</v>
      </c>
      <c r="AN206" s="213" t="str">
        <f ca="1">Sprache!$A$132</f>
        <v>регулируется</v>
      </c>
      <c r="AO206" s="213" t="s">
        <v>25</v>
      </c>
      <c r="AP206" s="213" t="s">
        <v>25</v>
      </c>
      <c r="AQ206" s="213">
        <f>Limits!$K$9</f>
        <v>200</v>
      </c>
      <c r="AR206" s="211">
        <v>1200</v>
      </c>
      <c r="AS206" s="187"/>
      <c r="AT206" s="124"/>
      <c r="AU206"/>
      <c r="AV206"/>
      <c r="AY206"/>
      <c r="AZ206"/>
      <c r="BA206"/>
      <c r="BB206"/>
      <c r="BC206"/>
    </row>
    <row r="207" spans="1:55" s="5" customFormat="1" hidden="1" x14ac:dyDescent="0.25">
      <c r="A207" s="12" t="str">
        <f ca="1">IF(F207+G207+H207+I207+J207+D207+E207=3,IF(Tabelle2[[#This Row],[Kappe Weiß]]=Limits!$R$29,1,""),"")</f>
        <v/>
      </c>
      <c r="B207" s="12" t="str">
        <f ca="1">IF(G207+H207+I207+J207+E207+F207=2,IF(Tabelle2[[#This Row],[Kappe Weiß]]=Limits!$R$29,1,""),"")</f>
        <v/>
      </c>
      <c r="C207" s="291">
        <v>0</v>
      </c>
      <c r="D207" s="171">
        <f>IF(Limits!$P$11=TRUE,1,0)</f>
        <v>0</v>
      </c>
      <c r="E207" s="172">
        <f>IF(Daten!$P207+Daten!$Q207+Daten!$S207=3,1,0)</f>
        <v>0</v>
      </c>
      <c r="F207" s="173">
        <f ca="1">IF(AND(Limits!$Q$21=TRUE,Daten!O207=1)=TRUE,1,0)</f>
        <v>0</v>
      </c>
      <c r="G207" s="174">
        <f>IF(AND(Limits!$Q$25=TRUE,Daten!N207=1)=TRUE,1,0)</f>
        <v>0</v>
      </c>
      <c r="H207" s="174">
        <f>IF(AND(Limits!$Q$24=TRUE,Daten!M207=1)=TRUE,1,0)</f>
        <v>0</v>
      </c>
      <c r="I207" s="174">
        <f>IF(AND(Limits!$Q$23=TRUE,Daten!L207=1)=TRUE,1,0)</f>
        <v>0</v>
      </c>
      <c r="J207" s="174">
        <f>IF(AND(Limits!$Q$22=TRUE,Daten!K207=1)=TRUE,1,0)</f>
        <v>0</v>
      </c>
      <c r="K207" s="188">
        <f>IF(Daten!$V207=13,1,0)</f>
        <v>0</v>
      </c>
      <c r="L207" s="189">
        <f>IF(Daten!$V207&lt;&gt;Daten!$W207,1,IF(Daten!$V207=14,1,0))</f>
        <v>1</v>
      </c>
      <c r="M207" s="189">
        <f>IF(Daten!$V207&lt;&gt;Daten!$W207,1,IF(Daten!$V207=16,1,0))</f>
        <v>0</v>
      </c>
      <c r="N207" s="189">
        <f>IF(Daten!$W207=17,1,0)</f>
        <v>0</v>
      </c>
      <c r="O207" s="190">
        <f ca="1">IF(Daten!$X207=Sprache!$A$70,1,0)</f>
        <v>0</v>
      </c>
      <c r="P207" s="191">
        <f>IF(AND(Daten!$AQ207&lt;=KINVARO!$AW$3,Daten!$AR207&gt;=KINVARO!$AW$3)=TRUE,1,0)</f>
        <v>1</v>
      </c>
      <c r="Q207" s="192">
        <f>IF(AND(Daten!$AA207&lt;=KINVARO!$AW$4,Daten!$AB207&gt;=KINVARO!$AW$4)=TRUE,1,0)</f>
        <v>0</v>
      </c>
      <c r="R207" s="192"/>
      <c r="S207" s="192">
        <f>IF(AND(Daten!$AD207&lt;=Limits!$I$70,Daten!$AE207&gt;=Limits!$I$70)=TRUE,1,0)</f>
        <v>0</v>
      </c>
      <c r="T207" s="193">
        <f ca="1">IF(Daten!$Y207=Sprache!$A$135,1,0)</f>
        <v>0</v>
      </c>
      <c r="U207" s="124" t="str">
        <f ca="1">Sprache!$A$63</f>
        <v>T-57 Поворотный подъемник</v>
      </c>
      <c r="V207" s="194">
        <v>14</v>
      </c>
      <c r="W207" s="193">
        <v>14</v>
      </c>
      <c r="X207" s="187" t="str">
        <f ca="1">Sprache!$A$141</f>
        <v>Alu</v>
      </c>
      <c r="Y207" s="187" t="str">
        <f ca="1">Sprache!$A$136</f>
        <v>nein</v>
      </c>
      <c r="Z207" s="187" t="str">
        <f ca="1">Sprache!$A$79</f>
        <v>Створка</v>
      </c>
      <c r="AA207" s="187">
        <v>300</v>
      </c>
      <c r="AB207" s="124">
        <v>349</v>
      </c>
      <c r="AC207" s="187">
        <v>19</v>
      </c>
      <c r="AD207" s="195">
        <v>1</v>
      </c>
      <c r="AE207" s="196">
        <v>6.2</v>
      </c>
      <c r="AF207" s="263" t="str">
        <f>MID(Tabelle2[[#This Row],[bnr full]],1,4)</f>
        <v>F151</v>
      </c>
      <c r="AG207" s="264" t="str">
        <f>MID(Tabelle2[[#This Row],[bnr full]],5,3)</f>
        <v>145</v>
      </c>
      <c r="AH207" s="265" t="str">
        <f>MID(Tabelle2[[#This Row],[bnr full]],8,3)</f>
        <v>222</v>
      </c>
      <c r="AI207" s="264" t="str">
        <f>MID(Tabelle2[[#This Row],[bnr full]],11,3)</f>
        <v>201</v>
      </c>
      <c r="AJ207" s="252" t="str">
        <f>MID(Tabelle2[[#This Row],[bnr full]],11,3)</f>
        <v>201</v>
      </c>
      <c r="AK207" s="197" t="s">
        <v>790</v>
      </c>
      <c r="AL207" s="124" t="str">
        <f ca="1">Sprache!$A$111</f>
        <v>Комплект (Л + П)</v>
      </c>
      <c r="AM207" s="187" t="s">
        <v>25</v>
      </c>
      <c r="AN207" s="187" t="str">
        <f ca="1">Sprache!$A$132</f>
        <v>регулируется</v>
      </c>
      <c r="AO207" s="187" t="s">
        <v>25</v>
      </c>
      <c r="AP207" s="187" t="s">
        <v>25</v>
      </c>
      <c r="AQ207" s="187">
        <f>Limits!$K$9</f>
        <v>200</v>
      </c>
      <c r="AR207" s="124">
        <v>1200</v>
      </c>
      <c r="AS207" s="187"/>
      <c r="AT207" s="124"/>
    </row>
    <row r="208" spans="1:55" hidden="1" x14ac:dyDescent="0.25">
      <c r="A208" s="12" t="str">
        <f ca="1">IF(F208+G208+H208+I208+J208+D208+E208=3,IF(Tabelle2[[#This Row],[Kappe Weiß]]=Limits!$R$29,1,""),"")</f>
        <v/>
      </c>
      <c r="B208" s="12" t="str">
        <f ca="1">IF(G208+H208+I208+J208+E208+F208=2,IF(Tabelle2[[#This Row],[Kappe Weiß]]=Limits!$R$29,1,""),"")</f>
        <v/>
      </c>
      <c r="C208" s="291">
        <v>0</v>
      </c>
      <c r="D208" s="171">
        <f>IF(Limits!$P$11=TRUE,1,0)</f>
        <v>0</v>
      </c>
      <c r="E208" s="172">
        <f>IF(Daten!$P208+Daten!$Q208+Daten!$S208=3,1,0)</f>
        <v>0</v>
      </c>
      <c r="F208" s="173">
        <f ca="1">IF(AND(Limits!$Q$21=TRUE,Daten!O208=1)=TRUE,1,0)</f>
        <v>0</v>
      </c>
      <c r="G208" s="174">
        <f>IF(AND(Limits!$Q$25=TRUE,Daten!N208=1)=TRUE,1,0)</f>
        <v>0</v>
      </c>
      <c r="H208" s="174">
        <f>IF(AND(Limits!$Q$24=TRUE,Daten!M208=1)=TRUE,1,0)</f>
        <v>0</v>
      </c>
      <c r="I208" s="174">
        <f>IF(AND(Limits!$Q$23=TRUE,Daten!L208=1)=TRUE,1,0)</f>
        <v>0</v>
      </c>
      <c r="J208" s="174">
        <f>IF(AND(Limits!$Q$22=TRUE,Daten!K208=1)=TRUE,1,0)</f>
        <v>0</v>
      </c>
      <c r="K208" s="188">
        <f>IF(Daten!$V208=13,1,0)</f>
        <v>0</v>
      </c>
      <c r="L208" s="189">
        <f>IF(Daten!$V208&lt;&gt;Daten!$W208,1,IF(Daten!$V208=14,1,0))</f>
        <v>0</v>
      </c>
      <c r="M208" s="189">
        <f>IF(Daten!$V208&lt;&gt;Daten!$W208,1,IF(Daten!$V208=16,1,0))</f>
        <v>1</v>
      </c>
      <c r="N208" s="189">
        <f>IF(Daten!$W208=17,1,0)</f>
        <v>0</v>
      </c>
      <c r="O208" s="190">
        <f ca="1">IF(Daten!$X208=Sprache!$A$70,1,0)</f>
        <v>0</v>
      </c>
      <c r="P208" s="191">
        <f>IF(AND(Daten!$AQ208&lt;=KINVARO!$AW$3,Daten!$AR208&gt;=KINVARO!$AW$3)=TRUE,1,0)</f>
        <v>1</v>
      </c>
      <c r="Q208" s="192">
        <f>IF(AND(Daten!$AA208&lt;=KINVARO!$AW$4,Daten!$AB208&gt;=KINVARO!$AW$4)=TRUE,1,0)</f>
        <v>0</v>
      </c>
      <c r="R208" s="192"/>
      <c r="S208" s="192">
        <f>IF(AND(Daten!$AD208&lt;=Limits!$I$70,Daten!$AE208&gt;=Limits!$I$70)=TRUE,1,0)</f>
        <v>0</v>
      </c>
      <c r="T208" s="193">
        <f ca="1">IF(Daten!$Y208=Sprache!$A$135,1,0)</f>
        <v>0</v>
      </c>
      <c r="U208" s="124" t="str">
        <f ca="1">Sprache!$A$63</f>
        <v>T-57 Поворотный подъемник</v>
      </c>
      <c r="V208" s="194">
        <v>16</v>
      </c>
      <c r="W208" s="193">
        <v>16</v>
      </c>
      <c r="X208" s="187" t="str">
        <f ca="1">Sprache!$A$141</f>
        <v>Alu</v>
      </c>
      <c r="Y208" s="187" t="str">
        <f ca="1">Sprache!$A$136</f>
        <v>nein</v>
      </c>
      <c r="Z208" s="187" t="str">
        <f ca="1">Sprache!$A$79</f>
        <v>Створка</v>
      </c>
      <c r="AA208" s="187">
        <v>300</v>
      </c>
      <c r="AB208" s="124">
        <v>349</v>
      </c>
      <c r="AC208" s="187">
        <v>19</v>
      </c>
      <c r="AD208" s="195">
        <v>1</v>
      </c>
      <c r="AE208" s="196">
        <v>6.2</v>
      </c>
      <c r="AF208" s="263" t="str">
        <f>MID(Tabelle2[[#This Row],[bnr full]],1,4)</f>
        <v>F151</v>
      </c>
      <c r="AG208" s="264" t="str">
        <f>MID(Tabelle2[[#This Row],[bnr full]],5,3)</f>
        <v>145</v>
      </c>
      <c r="AH208" s="265" t="str">
        <f>MID(Tabelle2[[#This Row],[bnr full]],8,3)</f>
        <v>223</v>
      </c>
      <c r="AI208" s="264" t="str">
        <f>MID(Tabelle2[[#This Row],[bnr full]],11,3)</f>
        <v>201</v>
      </c>
      <c r="AJ208" s="252" t="str">
        <f>MID(Tabelle2[[#This Row],[bnr full]],11,3)</f>
        <v>201</v>
      </c>
      <c r="AK208" s="197" t="s">
        <v>791</v>
      </c>
      <c r="AL208" s="124" t="str">
        <f ca="1">Sprache!$A$111</f>
        <v>Комплект (Л + П)</v>
      </c>
      <c r="AM208" s="187" t="s">
        <v>25</v>
      </c>
      <c r="AN208" s="187" t="str">
        <f ca="1">Sprache!$A$132</f>
        <v>регулируется</v>
      </c>
      <c r="AO208" s="187" t="s">
        <v>25</v>
      </c>
      <c r="AP208" s="187" t="s">
        <v>25</v>
      </c>
      <c r="AQ208" s="187">
        <f>Limits!$K$9</f>
        <v>200</v>
      </c>
      <c r="AR208" s="124">
        <v>1200</v>
      </c>
      <c r="AS208" s="187"/>
      <c r="AT208" s="124"/>
      <c r="AU208"/>
      <c r="AV208"/>
      <c r="AY208"/>
      <c r="AZ208"/>
      <c r="BA208"/>
      <c r="BB208"/>
      <c r="BC208"/>
    </row>
    <row r="209" spans="1:55" hidden="1" x14ac:dyDescent="0.25">
      <c r="A209" s="12" t="str">
        <f ca="1">IF(F209+G209+H209+I209+J209+D209+E209=3,IF(Tabelle2[[#This Row],[Kappe Weiß]]=Limits!$R$29,1,""),"")</f>
        <v/>
      </c>
      <c r="B209" s="12" t="str">
        <f ca="1">IF(G209+H209+I209+J209+E209+F209=2,IF(Tabelle2[[#This Row],[Kappe Weiß]]=Limits!$R$29,1,""),"")</f>
        <v/>
      </c>
      <c r="C209" s="292">
        <v>0</v>
      </c>
      <c r="D209" s="171">
        <f>IF(Limits!$P$11=TRUE,1,0)</f>
        <v>0</v>
      </c>
      <c r="E209" s="172">
        <f>IF(Daten!$P209+Daten!$Q209+Daten!$S209=3,1,0)</f>
        <v>0</v>
      </c>
      <c r="F209" s="173">
        <f ca="1">IF(AND(Limits!$Q$21=TRUE,Daten!O209=1)=TRUE,1,0)</f>
        <v>1</v>
      </c>
      <c r="G209" s="174">
        <f ca="1">IF(AND(Limits!$Q$25=TRUE,Daten!N209=1)=TRUE,1,0)</f>
        <v>0</v>
      </c>
      <c r="H209" s="174">
        <f ca="1">IF(AND(Limits!$Q$24=TRUE,Daten!M209=1)=TRUE,1,0)</f>
        <v>0</v>
      </c>
      <c r="I209" s="174">
        <f ca="1">IF(AND(Limits!$Q$23=TRUE,Daten!L209=1)=TRUE,1,0)</f>
        <v>0</v>
      </c>
      <c r="J209" s="174">
        <f ca="1">IF(AND(Limits!$Q$22=TRUE,Daten!K209=1)=TRUE,1,0)</f>
        <v>0</v>
      </c>
      <c r="K209" s="188">
        <f ca="1">IF(Daten!$V209=13,1,0)</f>
        <v>0</v>
      </c>
      <c r="L209" s="189">
        <f ca="1">IF(Daten!$V209&lt;&gt;Daten!$W209,1,IF(Daten!$V209=14,1,0))</f>
        <v>0</v>
      </c>
      <c r="M209" s="189">
        <f ca="1">IF(Daten!$V209&lt;&gt;Daten!$W209,1,IF(Daten!$V209=16,1,0))</f>
        <v>0</v>
      </c>
      <c r="N209" s="189">
        <f ca="1">IF(Daten!$W209=17,1,0)</f>
        <v>0</v>
      </c>
      <c r="O209" s="190">
        <f ca="1">IF(Daten!$X209=Sprache!$A$70,1,0)</f>
        <v>1</v>
      </c>
      <c r="P209" s="198">
        <f>IF(AND(Daten!$AQ209&lt;=KINVARO!$AW$3,Daten!$AR209&gt;=KINVARO!$AW$3)=TRUE,1,0)</f>
        <v>1</v>
      </c>
      <c r="Q209" s="199">
        <f>IF(AND(Daten!$AA209&lt;=KINVARO!$AW$4,Daten!$AB209&gt;=KINVARO!$AW$4)=TRUE,1,0)</f>
        <v>0</v>
      </c>
      <c r="R209" s="199"/>
      <c r="S209" s="199">
        <f>IF(AND(Daten!$AD209&lt;=Limits!$I$70,Daten!$AE209&gt;=Limits!$I$70)=TRUE,1,0)</f>
        <v>0</v>
      </c>
      <c r="T209" s="200">
        <f ca="1">IF(Daten!$Y209=Sprache!$A$135,1,0)</f>
        <v>0</v>
      </c>
      <c r="U209" s="201" t="str">
        <f ca="1">Sprache!$A$63</f>
        <v>T-57 Поворотный подъемник</v>
      </c>
      <c r="V209" s="202" t="str">
        <f ca="1">Sprache!$A$74</f>
        <v>var</v>
      </c>
      <c r="W209" s="200" t="str">
        <f ca="1">Sprache!$A$74</f>
        <v>var</v>
      </c>
      <c r="X209" s="203" t="str">
        <f ca="1">Sprache!$A$70</f>
        <v>соединение с древесиной</v>
      </c>
      <c r="Y209" s="187" t="str">
        <f ca="1">Sprache!$A$136</f>
        <v>nein</v>
      </c>
      <c r="Z209" s="203" t="str">
        <f ca="1">Sprache!$A$79</f>
        <v>Створка</v>
      </c>
      <c r="AA209" s="203">
        <v>350</v>
      </c>
      <c r="AB209" s="201">
        <v>399</v>
      </c>
      <c r="AC209" s="203">
        <v>19</v>
      </c>
      <c r="AD209" s="204">
        <v>1.2</v>
      </c>
      <c r="AE209" s="205">
        <v>4.9000000000000004</v>
      </c>
      <c r="AF209" s="266" t="str">
        <f>MID(Tabelle2[[#This Row],[bnr full]],1,4)</f>
        <v>F151</v>
      </c>
      <c r="AG209" s="267" t="str">
        <f>MID(Tabelle2[[#This Row],[bnr full]],5,3)</f>
        <v>145</v>
      </c>
      <c r="AH209" s="268" t="str">
        <f>MID(Tabelle2[[#This Row],[bnr full]],8,3)</f>
        <v>224</v>
      </c>
      <c r="AI209" s="267" t="str">
        <f>MID(Tabelle2[[#This Row],[bnr full]],11,3)</f>
        <v>201</v>
      </c>
      <c r="AJ209" s="253" t="str">
        <f>MID(Tabelle2[[#This Row],[bnr full]],11,3)</f>
        <v>201</v>
      </c>
      <c r="AK209" s="206" t="s">
        <v>789</v>
      </c>
      <c r="AL209" s="201" t="str">
        <f ca="1">Sprache!$A$111</f>
        <v>Комплект (Л + П)</v>
      </c>
      <c r="AM209" s="203" t="s">
        <v>25</v>
      </c>
      <c r="AN209" s="203" t="str">
        <f ca="1">Sprache!$A$132</f>
        <v>регулируется</v>
      </c>
      <c r="AO209" s="203" t="s">
        <v>25</v>
      </c>
      <c r="AP209" s="203" t="s">
        <v>25</v>
      </c>
      <c r="AQ209" s="203">
        <f>Limits!$K$9</f>
        <v>200</v>
      </c>
      <c r="AR209" s="201">
        <v>1200</v>
      </c>
      <c r="AS209" s="187"/>
      <c r="AT209" s="124"/>
      <c r="AU209"/>
      <c r="AV209"/>
      <c r="AY209"/>
      <c r="AZ209"/>
      <c r="BA209"/>
      <c r="BB209"/>
      <c r="BC209"/>
    </row>
    <row r="210" spans="1:55" hidden="1" x14ac:dyDescent="0.25">
      <c r="A210" s="12" t="str">
        <f ca="1">IF(F210+G210+H210+I210+J210+D210+E210=3,IF(Tabelle2[[#This Row],[Kappe Weiß]]=Limits!$R$29,1,""),"")</f>
        <v/>
      </c>
      <c r="B210" s="12" t="str">
        <f ca="1">IF(G210+H210+I210+J210+E210+F210=2,IF(Tabelle2[[#This Row],[Kappe Weiß]]=Limits!$R$29,1,""),"")</f>
        <v/>
      </c>
      <c r="C210" s="291">
        <v>0</v>
      </c>
      <c r="D210" s="171">
        <f>IF(Limits!$P$11=TRUE,1,0)</f>
        <v>0</v>
      </c>
      <c r="E210" s="172">
        <f>IF(Daten!$P210+Daten!$Q210+Daten!$S210=3,1,0)</f>
        <v>0</v>
      </c>
      <c r="F210" s="173">
        <f ca="1">IF(AND(Limits!$Q$21=TRUE,Daten!O210=1)=TRUE,1,0)</f>
        <v>0</v>
      </c>
      <c r="G210" s="174">
        <f>IF(AND(Limits!$Q$25=TRUE,Daten!N210=1)=TRUE,1,0)</f>
        <v>0</v>
      </c>
      <c r="H210" s="174">
        <f>IF(AND(Limits!$Q$24=TRUE,Daten!M210=1)=TRUE,1,0)</f>
        <v>0</v>
      </c>
      <c r="I210" s="174">
        <f>IF(AND(Limits!$Q$23=TRUE,Daten!L210=1)=TRUE,1,0)</f>
        <v>0</v>
      </c>
      <c r="J210" s="174">
        <f>IF(AND(Limits!$Q$22=TRUE,Daten!K210=1)=TRUE,1,0)</f>
        <v>0</v>
      </c>
      <c r="K210" s="188">
        <f>IF(Daten!$V210=13,1,0)</f>
        <v>0</v>
      </c>
      <c r="L210" s="189">
        <f>IF(Daten!$V210&lt;&gt;Daten!$W210,1,IF(Daten!$V210=14,1,0))</f>
        <v>1</v>
      </c>
      <c r="M210" s="189">
        <f>IF(Daten!$V210&lt;&gt;Daten!$W210,1,IF(Daten!$V210=16,1,0))</f>
        <v>0</v>
      </c>
      <c r="N210" s="189">
        <f>IF(Daten!$W210=17,1,0)</f>
        <v>0</v>
      </c>
      <c r="O210" s="190">
        <f ca="1">IF(Daten!$X210=Sprache!$A$70,1,0)</f>
        <v>0</v>
      </c>
      <c r="P210" s="191">
        <f>IF(AND(Daten!$AQ210&lt;=KINVARO!$AW$3,Daten!$AR210&gt;=KINVARO!$AW$3)=TRUE,1,0)</f>
        <v>1</v>
      </c>
      <c r="Q210" s="192">
        <f>IF(AND(Daten!$AA210&lt;=KINVARO!$AW$4,Daten!$AB210&gt;=KINVARO!$AW$4)=TRUE,1,0)</f>
        <v>0</v>
      </c>
      <c r="R210" s="192"/>
      <c r="S210" s="192">
        <f>IF(AND(Daten!$AD210&lt;=Limits!$I$70,Daten!$AE210&gt;=Limits!$I$70)=TRUE,1,0)</f>
        <v>0</v>
      </c>
      <c r="T210" s="193">
        <f ca="1">IF(Daten!$Y210=Sprache!$A$135,1,0)</f>
        <v>0</v>
      </c>
      <c r="U210" s="124" t="str">
        <f ca="1">Sprache!$A$63</f>
        <v>T-57 Поворотный подъемник</v>
      </c>
      <c r="V210" s="194">
        <v>14</v>
      </c>
      <c r="W210" s="193">
        <v>14</v>
      </c>
      <c r="X210" s="187" t="str">
        <f ca="1">Sprache!$A$141</f>
        <v>Alu</v>
      </c>
      <c r="Y210" s="187" t="str">
        <f ca="1">Sprache!$A$136</f>
        <v>nein</v>
      </c>
      <c r="Z210" s="187" t="str">
        <f ca="1">Sprache!$A$79</f>
        <v>Створка</v>
      </c>
      <c r="AA210" s="187">
        <v>350</v>
      </c>
      <c r="AB210" s="124">
        <v>399</v>
      </c>
      <c r="AC210" s="187">
        <v>19</v>
      </c>
      <c r="AD210" s="195">
        <v>1.2</v>
      </c>
      <c r="AE210" s="196">
        <v>4.9000000000000004</v>
      </c>
      <c r="AF210" s="263" t="str">
        <f>MID(Tabelle2[[#This Row],[bnr full]],1,4)</f>
        <v>F151</v>
      </c>
      <c r="AG210" s="264" t="str">
        <f>MID(Tabelle2[[#This Row],[bnr full]],5,3)</f>
        <v>145</v>
      </c>
      <c r="AH210" s="265" t="str">
        <f>MID(Tabelle2[[#This Row],[bnr full]],8,3)</f>
        <v>222</v>
      </c>
      <c r="AI210" s="264" t="str">
        <f>MID(Tabelle2[[#This Row],[bnr full]],11,3)</f>
        <v>201</v>
      </c>
      <c r="AJ210" s="252" t="str">
        <f>MID(Tabelle2[[#This Row],[bnr full]],11,3)</f>
        <v>201</v>
      </c>
      <c r="AK210" s="197" t="s">
        <v>790</v>
      </c>
      <c r="AL210" s="124" t="str">
        <f ca="1">Sprache!$A$111</f>
        <v>Комплект (Л + П)</v>
      </c>
      <c r="AM210" s="187" t="s">
        <v>25</v>
      </c>
      <c r="AN210" s="187" t="str">
        <f ca="1">Sprache!$A$132</f>
        <v>регулируется</v>
      </c>
      <c r="AO210" s="187" t="s">
        <v>25</v>
      </c>
      <c r="AP210" s="187" t="s">
        <v>25</v>
      </c>
      <c r="AQ210" s="187">
        <f>Limits!$K$9</f>
        <v>200</v>
      </c>
      <c r="AR210" s="124">
        <v>1200</v>
      </c>
      <c r="AS210" s="187"/>
      <c r="AT210" s="124"/>
      <c r="AU210"/>
      <c r="AV210"/>
      <c r="AY210"/>
      <c r="AZ210"/>
      <c r="BA210"/>
      <c r="BB210"/>
      <c r="BC210"/>
    </row>
    <row r="211" spans="1:55" hidden="1" x14ac:dyDescent="0.25">
      <c r="A211" s="12" t="str">
        <f ca="1">IF(F211+G211+H211+I211+J211+D211+E211=3,IF(Tabelle2[[#This Row],[Kappe Weiß]]=Limits!$R$29,1,""),"")</f>
        <v/>
      </c>
      <c r="B211" s="12" t="str">
        <f ca="1">IF(G211+H211+I211+J211+E211+F211=2,IF(Tabelle2[[#This Row],[Kappe Weiß]]=Limits!$R$29,1,""),"")</f>
        <v/>
      </c>
      <c r="C211" s="291">
        <v>0</v>
      </c>
      <c r="D211" s="171">
        <f>IF(Limits!$P$11=TRUE,1,0)</f>
        <v>0</v>
      </c>
      <c r="E211" s="172">
        <f>IF(Daten!$P211+Daten!$Q211+Daten!$S211=3,1,0)</f>
        <v>0</v>
      </c>
      <c r="F211" s="173">
        <f ca="1">IF(AND(Limits!$Q$21=TRUE,Daten!O211=1)=TRUE,1,0)</f>
        <v>0</v>
      </c>
      <c r="G211" s="174">
        <f>IF(AND(Limits!$Q$25=TRUE,Daten!N211=1)=TRUE,1,0)</f>
        <v>0</v>
      </c>
      <c r="H211" s="174">
        <f>IF(AND(Limits!$Q$24=TRUE,Daten!M211=1)=TRUE,1,0)</f>
        <v>0</v>
      </c>
      <c r="I211" s="174">
        <f>IF(AND(Limits!$Q$23=TRUE,Daten!L211=1)=TRUE,1,0)</f>
        <v>0</v>
      </c>
      <c r="J211" s="174">
        <f>IF(AND(Limits!$Q$22=TRUE,Daten!K211=1)=TRUE,1,0)</f>
        <v>0</v>
      </c>
      <c r="K211" s="188">
        <f>IF(Daten!$V211=13,1,0)</f>
        <v>0</v>
      </c>
      <c r="L211" s="189">
        <f>IF(Daten!$V211&lt;&gt;Daten!$W211,1,IF(Daten!$V211=14,1,0))</f>
        <v>0</v>
      </c>
      <c r="M211" s="189">
        <f>IF(Daten!$V211&lt;&gt;Daten!$W211,1,IF(Daten!$V211=16,1,0))</f>
        <v>1</v>
      </c>
      <c r="N211" s="189">
        <f>IF(Daten!$W211=17,1,0)</f>
        <v>0</v>
      </c>
      <c r="O211" s="190">
        <f ca="1">IF(Daten!$X211=Sprache!$A$70,1,0)</f>
        <v>0</v>
      </c>
      <c r="P211" s="191">
        <f>IF(AND(Daten!$AQ211&lt;=KINVARO!$AW$3,Daten!$AR211&gt;=KINVARO!$AW$3)=TRUE,1,0)</f>
        <v>1</v>
      </c>
      <c r="Q211" s="192">
        <f>IF(AND(Daten!$AA211&lt;=KINVARO!$AW$4,Daten!$AB211&gt;=KINVARO!$AW$4)=TRUE,1,0)</f>
        <v>0</v>
      </c>
      <c r="R211" s="192"/>
      <c r="S211" s="192">
        <f>IF(AND(Daten!$AD211&lt;=Limits!$I$70,Daten!$AE211&gt;=Limits!$I$70)=TRUE,1,0)</f>
        <v>0</v>
      </c>
      <c r="T211" s="193">
        <f ca="1">IF(Daten!$Y211=Sprache!$A$135,1,0)</f>
        <v>0</v>
      </c>
      <c r="U211" s="124" t="str">
        <f ca="1">Sprache!$A$63</f>
        <v>T-57 Поворотный подъемник</v>
      </c>
      <c r="V211" s="194">
        <v>16</v>
      </c>
      <c r="W211" s="193">
        <v>16</v>
      </c>
      <c r="X211" s="187" t="str">
        <f ca="1">Sprache!$A$141</f>
        <v>Alu</v>
      </c>
      <c r="Y211" s="187" t="str">
        <f ca="1">Sprache!$A$136</f>
        <v>nein</v>
      </c>
      <c r="Z211" s="187" t="str">
        <f ca="1">Sprache!$A$79</f>
        <v>Створка</v>
      </c>
      <c r="AA211" s="187">
        <v>350</v>
      </c>
      <c r="AB211" s="124">
        <v>399</v>
      </c>
      <c r="AC211" s="187">
        <v>19</v>
      </c>
      <c r="AD211" s="195">
        <v>1.2</v>
      </c>
      <c r="AE211" s="196">
        <v>4.9000000000000004</v>
      </c>
      <c r="AF211" s="263" t="str">
        <f>MID(Tabelle2[[#This Row],[bnr full]],1,4)</f>
        <v>F151</v>
      </c>
      <c r="AG211" s="264" t="str">
        <f>MID(Tabelle2[[#This Row],[bnr full]],5,3)</f>
        <v>145</v>
      </c>
      <c r="AH211" s="265" t="str">
        <f>MID(Tabelle2[[#This Row],[bnr full]],8,3)</f>
        <v>223</v>
      </c>
      <c r="AI211" s="264" t="str">
        <f>MID(Tabelle2[[#This Row],[bnr full]],11,3)</f>
        <v>201</v>
      </c>
      <c r="AJ211" s="252" t="str">
        <f>MID(Tabelle2[[#This Row],[bnr full]],11,3)</f>
        <v>201</v>
      </c>
      <c r="AK211" s="197" t="s">
        <v>791</v>
      </c>
      <c r="AL211" s="124" t="str">
        <f ca="1">Sprache!$A$111</f>
        <v>Комплект (Л + П)</v>
      </c>
      <c r="AM211" s="187" t="s">
        <v>25</v>
      </c>
      <c r="AN211" s="187" t="str">
        <f ca="1">Sprache!$A$132</f>
        <v>регулируется</v>
      </c>
      <c r="AO211" s="187" t="s">
        <v>25</v>
      </c>
      <c r="AP211" s="187" t="s">
        <v>25</v>
      </c>
      <c r="AQ211" s="187">
        <f>Limits!$K$9</f>
        <v>200</v>
      </c>
      <c r="AR211" s="124">
        <v>1200</v>
      </c>
      <c r="AS211" s="187"/>
      <c r="AT211" s="124"/>
      <c r="AU211"/>
      <c r="AV211"/>
      <c r="AY211"/>
      <c r="AZ211"/>
      <c r="BA211"/>
      <c r="BB211"/>
      <c r="BC211"/>
    </row>
    <row r="212" spans="1:55" hidden="1" x14ac:dyDescent="0.25">
      <c r="A212" s="12" t="str">
        <f ca="1">IF(F212+G212+H212+I212+J212+D212+E212=3,IF(Tabelle2[[#This Row],[Kappe Weiß]]=Limits!$R$29,1,""),"")</f>
        <v/>
      </c>
      <c r="B212" s="12" t="str">
        <f ca="1">IF(G212+H212+I212+J212+E212+F212=2,IF(Tabelle2[[#This Row],[Kappe Weiß]]=Limits!$R$29,1,""),"")</f>
        <v/>
      </c>
      <c r="C212" s="292">
        <v>0</v>
      </c>
      <c r="D212" s="171">
        <f>IF(Limits!$P$11=TRUE,1,0)</f>
        <v>0</v>
      </c>
      <c r="E212" s="172">
        <f>IF(Daten!$P212+Daten!$Q212+Daten!$S212=3,1,0)</f>
        <v>0</v>
      </c>
      <c r="F212" s="173">
        <f ca="1">IF(AND(Limits!$Q$21=TRUE,Daten!O212=1)=TRUE,1,0)</f>
        <v>1</v>
      </c>
      <c r="G212" s="174">
        <f ca="1">IF(AND(Limits!$Q$25=TRUE,Daten!N212=1)=TRUE,1,0)</f>
        <v>0</v>
      </c>
      <c r="H212" s="174">
        <f ca="1">IF(AND(Limits!$Q$24=TRUE,Daten!M212=1)=TRUE,1,0)</f>
        <v>0</v>
      </c>
      <c r="I212" s="174">
        <f ca="1">IF(AND(Limits!$Q$23=TRUE,Daten!L212=1)=TRUE,1,0)</f>
        <v>0</v>
      </c>
      <c r="J212" s="174">
        <f ca="1">IF(AND(Limits!$Q$22=TRUE,Daten!K212=1)=TRUE,1,0)</f>
        <v>0</v>
      </c>
      <c r="K212" s="188">
        <f ca="1">IF(Daten!$V212=13,1,0)</f>
        <v>0</v>
      </c>
      <c r="L212" s="189">
        <f ca="1">IF(Daten!$V212&lt;&gt;Daten!$W212,1,IF(Daten!$V212=14,1,0))</f>
        <v>0</v>
      </c>
      <c r="M212" s="189">
        <f ca="1">IF(Daten!$V212&lt;&gt;Daten!$W212,1,IF(Daten!$V212=16,1,0))</f>
        <v>0</v>
      </c>
      <c r="N212" s="189">
        <f ca="1">IF(Daten!$W212=17,1,0)</f>
        <v>0</v>
      </c>
      <c r="O212" s="190">
        <f ca="1">IF(Daten!$X212=Sprache!$A$70,1,0)</f>
        <v>1</v>
      </c>
      <c r="P212" s="198">
        <f>IF(AND(Daten!$AQ212&lt;=KINVARO!$AW$3,Daten!$AR212&gt;=KINVARO!$AW$3)=TRUE,1,0)</f>
        <v>1</v>
      </c>
      <c r="Q212" s="199">
        <f>IF(AND(Daten!$AA212&lt;=KINVARO!$AW$4,Daten!$AB212&gt;=KINVARO!$AW$4)=TRUE,1,0)</f>
        <v>0</v>
      </c>
      <c r="R212" s="199"/>
      <c r="S212" s="199">
        <f>IF(AND(Daten!$AD212&lt;=Limits!$I$70,Daten!$AE212&gt;=Limits!$I$70)=TRUE,1,0)</f>
        <v>0</v>
      </c>
      <c r="T212" s="200">
        <f ca="1">IF(Daten!$Y212=Sprache!$A$135,1,0)</f>
        <v>0</v>
      </c>
      <c r="U212" s="201" t="str">
        <f ca="1">Sprache!$A$63</f>
        <v>T-57 Поворотный подъемник</v>
      </c>
      <c r="V212" s="202" t="str">
        <f ca="1">Sprache!$A$74</f>
        <v>var</v>
      </c>
      <c r="W212" s="200" t="str">
        <f ca="1">Sprache!$A$74</f>
        <v>var</v>
      </c>
      <c r="X212" s="203" t="str">
        <f ca="1">Sprache!$A$70</f>
        <v>соединение с древесиной</v>
      </c>
      <c r="Y212" s="187" t="str">
        <f ca="1">Sprache!$A$136</f>
        <v>nein</v>
      </c>
      <c r="Z212" s="203" t="str">
        <f ca="1">Sprache!$A$79</f>
        <v>Створка</v>
      </c>
      <c r="AA212" s="203">
        <v>400</v>
      </c>
      <c r="AB212" s="201">
        <v>449</v>
      </c>
      <c r="AC212" s="203">
        <v>19</v>
      </c>
      <c r="AD212" s="204">
        <v>1.4</v>
      </c>
      <c r="AE212" s="205">
        <v>3.8</v>
      </c>
      <c r="AF212" s="266" t="str">
        <f>MID(Tabelle2[[#This Row],[bnr full]],1,4)</f>
        <v>F151</v>
      </c>
      <c r="AG212" s="267" t="str">
        <f>MID(Tabelle2[[#This Row],[bnr full]],5,3)</f>
        <v>145</v>
      </c>
      <c r="AH212" s="268" t="str">
        <f>MID(Tabelle2[[#This Row],[bnr full]],8,3)</f>
        <v>224</v>
      </c>
      <c r="AI212" s="267" t="str">
        <f>MID(Tabelle2[[#This Row],[bnr full]],11,3)</f>
        <v>201</v>
      </c>
      <c r="AJ212" s="253" t="str">
        <f>MID(Tabelle2[[#This Row],[bnr full]],11,3)</f>
        <v>201</v>
      </c>
      <c r="AK212" s="206" t="s">
        <v>789</v>
      </c>
      <c r="AL212" s="201" t="str">
        <f ca="1">Sprache!$A$111</f>
        <v>Комплект (Л + П)</v>
      </c>
      <c r="AM212" s="203" t="s">
        <v>25</v>
      </c>
      <c r="AN212" s="203" t="str">
        <f ca="1">Sprache!$A$132</f>
        <v>регулируется</v>
      </c>
      <c r="AO212" s="203" t="s">
        <v>25</v>
      </c>
      <c r="AP212" s="203" t="s">
        <v>25</v>
      </c>
      <c r="AQ212" s="203">
        <f>Limits!$K$9</f>
        <v>200</v>
      </c>
      <c r="AR212" s="201">
        <v>1200</v>
      </c>
      <c r="AS212" s="187"/>
      <c r="AT212" s="124"/>
      <c r="AU212"/>
      <c r="AV212"/>
      <c r="AY212"/>
      <c r="AZ212"/>
      <c r="BA212"/>
      <c r="BB212"/>
      <c r="BC212"/>
    </row>
    <row r="213" spans="1:55" hidden="1" x14ac:dyDescent="0.25">
      <c r="A213" s="12" t="str">
        <f ca="1">IF(F213+G213+H213+I213+J213+D213+E213=3,IF(Tabelle2[[#This Row],[Kappe Weiß]]=Limits!$R$29,1,""),"")</f>
        <v/>
      </c>
      <c r="B213" s="12" t="str">
        <f ca="1">IF(G213+H213+I213+J213+E213+F213=2,IF(Tabelle2[[#This Row],[Kappe Weiß]]=Limits!$R$29,1,""),"")</f>
        <v/>
      </c>
      <c r="C213" s="291">
        <v>0</v>
      </c>
      <c r="D213" s="171">
        <f>IF(Limits!$P$11=TRUE,1,0)</f>
        <v>0</v>
      </c>
      <c r="E213" s="172">
        <f>IF(Daten!$P213+Daten!$Q213+Daten!$S213=3,1,0)</f>
        <v>0</v>
      </c>
      <c r="F213" s="173">
        <f ca="1">IF(AND(Limits!$Q$21=TRUE,Daten!O213=1)=TRUE,1,0)</f>
        <v>0</v>
      </c>
      <c r="G213" s="174">
        <f>IF(AND(Limits!$Q$25=TRUE,Daten!N213=1)=TRUE,1,0)</f>
        <v>0</v>
      </c>
      <c r="H213" s="174">
        <f>IF(AND(Limits!$Q$24=TRUE,Daten!M213=1)=TRUE,1,0)</f>
        <v>0</v>
      </c>
      <c r="I213" s="174">
        <f>IF(AND(Limits!$Q$23=TRUE,Daten!L213=1)=TRUE,1,0)</f>
        <v>0</v>
      </c>
      <c r="J213" s="174">
        <f>IF(AND(Limits!$Q$22=TRUE,Daten!K213=1)=TRUE,1,0)</f>
        <v>0</v>
      </c>
      <c r="K213" s="188">
        <f>IF(Daten!$V213=13,1,0)</f>
        <v>0</v>
      </c>
      <c r="L213" s="189">
        <f>IF(Daten!$V213&lt;&gt;Daten!$W213,1,IF(Daten!$V213=14,1,0))</f>
        <v>1</v>
      </c>
      <c r="M213" s="189">
        <f>IF(Daten!$V213&lt;&gt;Daten!$W213,1,IF(Daten!$V213=16,1,0))</f>
        <v>0</v>
      </c>
      <c r="N213" s="189">
        <f>IF(Daten!$W213=17,1,0)</f>
        <v>0</v>
      </c>
      <c r="O213" s="190">
        <f ca="1">IF(Daten!$X213=Sprache!$A$70,1,0)</f>
        <v>0</v>
      </c>
      <c r="P213" s="191">
        <f>IF(AND(Daten!$AQ213&lt;=KINVARO!$AW$3,Daten!$AR213&gt;=KINVARO!$AW$3)=TRUE,1,0)</f>
        <v>1</v>
      </c>
      <c r="Q213" s="192">
        <f>IF(AND(Daten!$AA213&lt;=KINVARO!$AW$4,Daten!$AB213&gt;=KINVARO!$AW$4)=TRUE,1,0)</f>
        <v>0</v>
      </c>
      <c r="R213" s="192"/>
      <c r="S213" s="192">
        <f>IF(AND(Daten!$AD213&lt;=Limits!$I$70,Daten!$AE213&gt;=Limits!$I$70)=TRUE,1,0)</f>
        <v>0</v>
      </c>
      <c r="T213" s="193">
        <f ca="1">IF(Daten!$Y213=Sprache!$A$135,1,0)</f>
        <v>0</v>
      </c>
      <c r="U213" s="124" t="str">
        <f ca="1">Sprache!$A$63</f>
        <v>T-57 Поворотный подъемник</v>
      </c>
      <c r="V213" s="194">
        <v>14</v>
      </c>
      <c r="W213" s="193">
        <v>14</v>
      </c>
      <c r="X213" s="187" t="str">
        <f ca="1">Sprache!$A$141</f>
        <v>Alu</v>
      </c>
      <c r="Y213" s="187" t="str">
        <f ca="1">Sprache!$A$136</f>
        <v>nein</v>
      </c>
      <c r="Z213" s="187" t="str">
        <f ca="1">Sprache!$A$79</f>
        <v>Створка</v>
      </c>
      <c r="AA213" s="187">
        <v>400</v>
      </c>
      <c r="AB213" s="124">
        <v>449</v>
      </c>
      <c r="AC213" s="187">
        <v>19</v>
      </c>
      <c r="AD213" s="195">
        <v>1.4</v>
      </c>
      <c r="AE213" s="196">
        <v>3.8</v>
      </c>
      <c r="AF213" s="263" t="str">
        <f>MID(Tabelle2[[#This Row],[bnr full]],1,4)</f>
        <v>F151</v>
      </c>
      <c r="AG213" s="264" t="str">
        <f>MID(Tabelle2[[#This Row],[bnr full]],5,3)</f>
        <v>145</v>
      </c>
      <c r="AH213" s="265" t="str">
        <f>MID(Tabelle2[[#This Row],[bnr full]],8,3)</f>
        <v>222</v>
      </c>
      <c r="AI213" s="264" t="str">
        <f>MID(Tabelle2[[#This Row],[bnr full]],11,3)</f>
        <v>201</v>
      </c>
      <c r="AJ213" s="252" t="str">
        <f>MID(Tabelle2[[#This Row],[bnr full]],11,3)</f>
        <v>201</v>
      </c>
      <c r="AK213" s="197" t="s">
        <v>790</v>
      </c>
      <c r="AL213" s="124" t="str">
        <f ca="1">Sprache!$A$111</f>
        <v>Комплект (Л + П)</v>
      </c>
      <c r="AM213" s="187" t="s">
        <v>25</v>
      </c>
      <c r="AN213" s="187" t="str">
        <f ca="1">Sprache!$A$132</f>
        <v>регулируется</v>
      </c>
      <c r="AO213" s="187" t="s">
        <v>25</v>
      </c>
      <c r="AP213" s="187" t="s">
        <v>25</v>
      </c>
      <c r="AQ213" s="187">
        <f>Limits!$K$9</f>
        <v>200</v>
      </c>
      <c r="AR213" s="124">
        <v>1200</v>
      </c>
      <c r="AS213" s="187"/>
      <c r="AT213" s="124"/>
      <c r="AU213"/>
      <c r="AV213"/>
      <c r="AY213"/>
      <c r="AZ213"/>
      <c r="BA213"/>
      <c r="BB213"/>
      <c r="BC213"/>
    </row>
    <row r="214" spans="1:55" hidden="1" x14ac:dyDescent="0.25">
      <c r="A214" s="12" t="str">
        <f ca="1">IF(F214+G214+H214+I214+J214+D214+E214=3,IF(Tabelle2[[#This Row],[Kappe Weiß]]=Limits!$R$29,1,""),"")</f>
        <v/>
      </c>
      <c r="B214" s="12" t="str">
        <f ca="1">IF(G214+H214+I214+J214+E214+F214=2,IF(Tabelle2[[#This Row],[Kappe Weiß]]=Limits!$R$29,1,""),"")</f>
        <v/>
      </c>
      <c r="C214" s="291">
        <v>0</v>
      </c>
      <c r="D214" s="171">
        <f>IF(Limits!$P$11=TRUE,1,0)</f>
        <v>0</v>
      </c>
      <c r="E214" s="172">
        <f>IF(Daten!$P214+Daten!$Q214+Daten!$S214=3,1,0)</f>
        <v>0</v>
      </c>
      <c r="F214" s="173">
        <f ca="1">IF(AND(Limits!$Q$21=TRUE,Daten!O214=1)=TRUE,1,0)</f>
        <v>0</v>
      </c>
      <c r="G214" s="174">
        <f>IF(AND(Limits!$Q$25=TRUE,Daten!N214=1)=TRUE,1,0)</f>
        <v>0</v>
      </c>
      <c r="H214" s="174">
        <f>IF(AND(Limits!$Q$24=TRUE,Daten!M214=1)=TRUE,1,0)</f>
        <v>0</v>
      </c>
      <c r="I214" s="174">
        <f>IF(AND(Limits!$Q$23=TRUE,Daten!L214=1)=TRUE,1,0)</f>
        <v>0</v>
      </c>
      <c r="J214" s="174">
        <f>IF(AND(Limits!$Q$22=TRUE,Daten!K214=1)=TRUE,1,0)</f>
        <v>0</v>
      </c>
      <c r="K214" s="188">
        <f>IF(Daten!$V214=13,1,0)</f>
        <v>0</v>
      </c>
      <c r="L214" s="189">
        <f>IF(Daten!$V214&lt;&gt;Daten!$W214,1,IF(Daten!$V214=14,1,0))</f>
        <v>0</v>
      </c>
      <c r="M214" s="189">
        <f>IF(Daten!$V214&lt;&gt;Daten!$W214,1,IF(Daten!$V214=16,1,0))</f>
        <v>1</v>
      </c>
      <c r="N214" s="189">
        <f>IF(Daten!$W214=17,1,0)</f>
        <v>0</v>
      </c>
      <c r="O214" s="190">
        <f ca="1">IF(Daten!$X214=Sprache!$A$70,1,0)</f>
        <v>0</v>
      </c>
      <c r="P214" s="191">
        <f>IF(AND(Daten!$AQ214&lt;=KINVARO!$AW$3,Daten!$AR214&gt;=KINVARO!$AW$3)=TRUE,1,0)</f>
        <v>1</v>
      </c>
      <c r="Q214" s="192">
        <f>IF(AND(Daten!$AA214&lt;=KINVARO!$AW$4,Daten!$AB214&gt;=KINVARO!$AW$4)=TRUE,1,0)</f>
        <v>0</v>
      </c>
      <c r="R214" s="192"/>
      <c r="S214" s="192">
        <f>IF(AND(Daten!$AD214&lt;=Limits!$I$70,Daten!$AE214&gt;=Limits!$I$70)=TRUE,1,0)</f>
        <v>0</v>
      </c>
      <c r="T214" s="193">
        <f ca="1">IF(Daten!$Y214=Sprache!$A$135,1,0)</f>
        <v>0</v>
      </c>
      <c r="U214" s="124" t="str">
        <f ca="1">Sprache!$A$63</f>
        <v>T-57 Поворотный подъемник</v>
      </c>
      <c r="V214" s="194">
        <v>16</v>
      </c>
      <c r="W214" s="193">
        <v>16</v>
      </c>
      <c r="X214" s="187" t="str">
        <f ca="1">Sprache!$A$141</f>
        <v>Alu</v>
      </c>
      <c r="Y214" s="187" t="str">
        <f ca="1">Sprache!$A$136</f>
        <v>nein</v>
      </c>
      <c r="Z214" s="187" t="str">
        <f ca="1">Sprache!$A$79</f>
        <v>Створка</v>
      </c>
      <c r="AA214" s="187">
        <v>400</v>
      </c>
      <c r="AB214" s="124">
        <v>449</v>
      </c>
      <c r="AC214" s="187">
        <v>19</v>
      </c>
      <c r="AD214" s="195">
        <v>1.4</v>
      </c>
      <c r="AE214" s="196">
        <v>3.8</v>
      </c>
      <c r="AF214" s="263" t="str">
        <f>MID(Tabelle2[[#This Row],[bnr full]],1,4)</f>
        <v>F151</v>
      </c>
      <c r="AG214" s="264" t="str">
        <f>MID(Tabelle2[[#This Row],[bnr full]],5,3)</f>
        <v>145</v>
      </c>
      <c r="AH214" s="265" t="str">
        <f>MID(Tabelle2[[#This Row],[bnr full]],8,3)</f>
        <v>223</v>
      </c>
      <c r="AI214" s="264" t="str">
        <f>MID(Tabelle2[[#This Row],[bnr full]],11,3)</f>
        <v>201</v>
      </c>
      <c r="AJ214" s="252" t="str">
        <f>MID(Tabelle2[[#This Row],[bnr full]],11,3)</f>
        <v>201</v>
      </c>
      <c r="AK214" s="197" t="s">
        <v>791</v>
      </c>
      <c r="AL214" s="124" t="str">
        <f ca="1">Sprache!$A$111</f>
        <v>Комплект (Л + П)</v>
      </c>
      <c r="AM214" s="187" t="s">
        <v>25</v>
      </c>
      <c r="AN214" s="187" t="str">
        <f ca="1">Sprache!$A$132</f>
        <v>регулируется</v>
      </c>
      <c r="AO214" s="187" t="s">
        <v>25</v>
      </c>
      <c r="AP214" s="187" t="s">
        <v>25</v>
      </c>
      <c r="AQ214" s="187">
        <f>Limits!$K$9</f>
        <v>200</v>
      </c>
      <c r="AR214" s="124">
        <v>1200</v>
      </c>
      <c r="AS214" s="187"/>
      <c r="AT214" s="124"/>
      <c r="AU214"/>
      <c r="AV214"/>
      <c r="AY214"/>
      <c r="AZ214"/>
      <c r="BA214"/>
      <c r="BB214"/>
      <c r="BC214"/>
    </row>
    <row r="215" spans="1:55" hidden="1" x14ac:dyDescent="0.25">
      <c r="A215" s="12" t="str">
        <f ca="1">IF(F215+G215+H215+I215+J215+D215+E215=3,IF(Tabelle2[[#This Row],[Kappe Weiß]]=Limits!$R$29,1,""),"")</f>
        <v/>
      </c>
      <c r="B215" s="12" t="str">
        <f ca="1">IF(G215+H215+I215+J215+E215+F215=2,IF(Tabelle2[[#This Row],[Kappe Weiß]]=Limits!$R$29,1,""),"")</f>
        <v/>
      </c>
      <c r="C215" s="292">
        <v>0</v>
      </c>
      <c r="D215" s="171">
        <f>IF(Limits!$P$11=TRUE,1,0)</f>
        <v>0</v>
      </c>
      <c r="E215" s="172">
        <f>IF(Daten!$P215+Daten!$Q215+Daten!$S215=3,1,0)</f>
        <v>0</v>
      </c>
      <c r="F215" s="173">
        <f ca="1">IF(AND(Limits!$Q$21=TRUE,Daten!O215=1)=TRUE,1,0)</f>
        <v>1</v>
      </c>
      <c r="G215" s="174">
        <f ca="1">IF(AND(Limits!$Q$25=TRUE,Daten!N215=1)=TRUE,1,0)</f>
        <v>0</v>
      </c>
      <c r="H215" s="174">
        <f ca="1">IF(AND(Limits!$Q$24=TRUE,Daten!M215=1)=TRUE,1,0)</f>
        <v>0</v>
      </c>
      <c r="I215" s="174">
        <f ca="1">IF(AND(Limits!$Q$23=TRUE,Daten!L215=1)=TRUE,1,0)</f>
        <v>0</v>
      </c>
      <c r="J215" s="174">
        <f ca="1">IF(AND(Limits!$Q$22=TRUE,Daten!K215=1)=TRUE,1,0)</f>
        <v>0</v>
      </c>
      <c r="K215" s="188">
        <f ca="1">IF(Daten!$V215=13,1,0)</f>
        <v>0</v>
      </c>
      <c r="L215" s="189">
        <f ca="1">IF(Daten!$V215&lt;&gt;Daten!$W215,1,IF(Daten!$V215=14,1,0))</f>
        <v>0</v>
      </c>
      <c r="M215" s="189">
        <f ca="1">IF(Daten!$V215&lt;&gt;Daten!$W215,1,IF(Daten!$V215=16,1,0))</f>
        <v>0</v>
      </c>
      <c r="N215" s="189">
        <f ca="1">IF(Daten!$W215=17,1,0)</f>
        <v>0</v>
      </c>
      <c r="O215" s="190">
        <f ca="1">IF(Daten!$X215=Sprache!$A$70,1,0)</f>
        <v>1</v>
      </c>
      <c r="P215" s="198">
        <f>IF(AND(Daten!$AQ215&lt;=KINVARO!$AW$3,Daten!$AR215&gt;=KINVARO!$AW$3)=TRUE,1,0)</f>
        <v>1</v>
      </c>
      <c r="Q215" s="199">
        <f>IF(AND(Daten!$AA215&lt;=KINVARO!$AW$4,Daten!$AB215&gt;=KINVARO!$AW$4)=TRUE,1,0)</f>
        <v>0</v>
      </c>
      <c r="R215" s="199"/>
      <c r="S215" s="199">
        <f>IF(AND(Daten!$AD215&lt;=Limits!$I$70,Daten!$AE215&gt;=Limits!$I$70)=TRUE,1,0)</f>
        <v>0</v>
      </c>
      <c r="T215" s="200">
        <f ca="1">IF(Daten!$Y215=Sprache!$A$135,1,0)</f>
        <v>0</v>
      </c>
      <c r="U215" s="201" t="str">
        <f ca="1">Sprache!$A$63</f>
        <v>T-57 Поворотный подъемник</v>
      </c>
      <c r="V215" s="202" t="str">
        <f ca="1">Sprache!$A$74</f>
        <v>var</v>
      </c>
      <c r="W215" s="200" t="str">
        <f ca="1">Sprache!$A$74</f>
        <v>var</v>
      </c>
      <c r="X215" s="203" t="str">
        <f ca="1">Sprache!$A$70</f>
        <v>соединение с древесиной</v>
      </c>
      <c r="Y215" s="187" t="str">
        <f ca="1">Sprache!$A$136</f>
        <v>nein</v>
      </c>
      <c r="Z215" s="203" t="str">
        <f ca="1">Sprache!$A$79</f>
        <v>Створка</v>
      </c>
      <c r="AA215" s="203">
        <v>450</v>
      </c>
      <c r="AB215" s="201">
        <v>499</v>
      </c>
      <c r="AC215" s="203">
        <v>19</v>
      </c>
      <c r="AD215" s="204">
        <v>1.5</v>
      </c>
      <c r="AE215" s="205">
        <v>3.6</v>
      </c>
      <c r="AF215" s="266" t="str">
        <f>MID(Tabelle2[[#This Row],[bnr full]],1,4)</f>
        <v>F151</v>
      </c>
      <c r="AG215" s="267" t="str">
        <f>MID(Tabelle2[[#This Row],[bnr full]],5,3)</f>
        <v>145</v>
      </c>
      <c r="AH215" s="268" t="str">
        <f>MID(Tabelle2[[#This Row],[bnr full]],8,3)</f>
        <v>224</v>
      </c>
      <c r="AI215" s="267" t="str">
        <f>MID(Tabelle2[[#This Row],[bnr full]],11,3)</f>
        <v>201</v>
      </c>
      <c r="AJ215" s="253" t="str">
        <f>MID(Tabelle2[[#This Row],[bnr full]],11,3)</f>
        <v>201</v>
      </c>
      <c r="AK215" s="206" t="s">
        <v>789</v>
      </c>
      <c r="AL215" s="201" t="str">
        <f ca="1">Sprache!$A$111</f>
        <v>Комплект (Л + П)</v>
      </c>
      <c r="AM215" s="203" t="s">
        <v>25</v>
      </c>
      <c r="AN215" s="203" t="str">
        <f ca="1">Sprache!$A$132</f>
        <v>регулируется</v>
      </c>
      <c r="AO215" s="203" t="s">
        <v>25</v>
      </c>
      <c r="AP215" s="203" t="s">
        <v>25</v>
      </c>
      <c r="AQ215" s="203">
        <f>Limits!$K$9</f>
        <v>200</v>
      </c>
      <c r="AR215" s="201">
        <v>1200</v>
      </c>
      <c r="AS215" s="187"/>
      <c r="AT215" s="124"/>
      <c r="AU215"/>
      <c r="AV215"/>
      <c r="AY215"/>
      <c r="AZ215"/>
      <c r="BA215"/>
      <c r="BB215"/>
      <c r="BC215"/>
    </row>
    <row r="216" spans="1:55" hidden="1" x14ac:dyDescent="0.25">
      <c r="A216" s="12" t="str">
        <f ca="1">IF(F216+G216+H216+I216+J216+D216+E216=3,IF(Tabelle2[[#This Row],[Kappe Weiß]]=Limits!$R$29,1,""),"")</f>
        <v/>
      </c>
      <c r="B216" s="12" t="str">
        <f ca="1">IF(G216+H216+I216+J216+E216+F216=2,IF(Tabelle2[[#This Row],[Kappe Weiß]]=Limits!$R$29,1,""),"")</f>
        <v/>
      </c>
      <c r="C216" s="291">
        <v>0</v>
      </c>
      <c r="D216" s="171">
        <f>IF(Limits!$P$11=TRUE,1,0)</f>
        <v>0</v>
      </c>
      <c r="E216" s="172">
        <f>IF(Daten!$P216+Daten!$Q216+Daten!$S216=3,1,0)</f>
        <v>0</v>
      </c>
      <c r="F216" s="173">
        <f ca="1">IF(AND(Limits!$Q$21=TRUE,Daten!O216=1)=TRUE,1,0)</f>
        <v>0</v>
      </c>
      <c r="G216" s="174">
        <f>IF(AND(Limits!$Q$25=TRUE,Daten!N216=1)=TRUE,1,0)</f>
        <v>0</v>
      </c>
      <c r="H216" s="174">
        <f>IF(AND(Limits!$Q$24=TRUE,Daten!M216=1)=TRUE,1,0)</f>
        <v>0</v>
      </c>
      <c r="I216" s="174">
        <f>IF(AND(Limits!$Q$23=TRUE,Daten!L216=1)=TRUE,1,0)</f>
        <v>0</v>
      </c>
      <c r="J216" s="174">
        <f>IF(AND(Limits!$Q$22=TRUE,Daten!K216=1)=TRUE,1,0)</f>
        <v>0</v>
      </c>
      <c r="K216" s="188">
        <f>IF(Daten!$V216=13,1,0)</f>
        <v>0</v>
      </c>
      <c r="L216" s="189">
        <f>IF(Daten!$V216&lt;&gt;Daten!$W216,1,IF(Daten!$V216=14,1,0))</f>
        <v>1</v>
      </c>
      <c r="M216" s="189">
        <f>IF(Daten!$V216&lt;&gt;Daten!$W216,1,IF(Daten!$V216=16,1,0))</f>
        <v>0</v>
      </c>
      <c r="N216" s="189">
        <f>IF(Daten!$W216=17,1,0)</f>
        <v>0</v>
      </c>
      <c r="O216" s="190">
        <f ca="1">IF(Daten!$X216=Sprache!$A$70,1,0)</f>
        <v>0</v>
      </c>
      <c r="P216" s="191">
        <f>IF(AND(Daten!$AQ216&lt;=KINVARO!$AW$3,Daten!$AR216&gt;=KINVARO!$AW$3)=TRUE,1,0)</f>
        <v>1</v>
      </c>
      <c r="Q216" s="192">
        <f>IF(AND(Daten!$AA216&lt;=KINVARO!$AW$4,Daten!$AB216&gt;=KINVARO!$AW$4)=TRUE,1,0)</f>
        <v>0</v>
      </c>
      <c r="R216" s="192"/>
      <c r="S216" s="192">
        <f>IF(AND(Daten!$AD216&lt;=Limits!$I$70,Daten!$AE216&gt;=Limits!$I$70)=TRUE,1,0)</f>
        <v>0</v>
      </c>
      <c r="T216" s="193">
        <f ca="1">IF(Daten!$Y216=Sprache!$A$135,1,0)</f>
        <v>0</v>
      </c>
      <c r="U216" s="124" t="str">
        <f ca="1">Sprache!$A$63</f>
        <v>T-57 Поворотный подъемник</v>
      </c>
      <c r="V216" s="194">
        <v>14</v>
      </c>
      <c r="W216" s="193">
        <v>14</v>
      </c>
      <c r="X216" s="187" t="str">
        <f ca="1">Sprache!$A$141</f>
        <v>Alu</v>
      </c>
      <c r="Y216" s="187" t="str">
        <f ca="1">Sprache!$A$136</f>
        <v>nein</v>
      </c>
      <c r="Z216" s="187" t="str">
        <f ca="1">Sprache!$A$79</f>
        <v>Створка</v>
      </c>
      <c r="AA216" s="187">
        <v>450</v>
      </c>
      <c r="AB216" s="124">
        <v>499</v>
      </c>
      <c r="AC216" s="187">
        <v>19</v>
      </c>
      <c r="AD216" s="195">
        <v>1.5</v>
      </c>
      <c r="AE216" s="196">
        <v>3.6</v>
      </c>
      <c r="AF216" s="263" t="str">
        <f>MID(Tabelle2[[#This Row],[bnr full]],1,4)</f>
        <v>F151</v>
      </c>
      <c r="AG216" s="264" t="str">
        <f>MID(Tabelle2[[#This Row],[bnr full]],5,3)</f>
        <v>145</v>
      </c>
      <c r="AH216" s="265" t="str">
        <f>MID(Tabelle2[[#This Row],[bnr full]],8,3)</f>
        <v>222</v>
      </c>
      <c r="AI216" s="264" t="str">
        <f>MID(Tabelle2[[#This Row],[bnr full]],11,3)</f>
        <v>201</v>
      </c>
      <c r="AJ216" s="252" t="str">
        <f>MID(Tabelle2[[#This Row],[bnr full]],11,3)</f>
        <v>201</v>
      </c>
      <c r="AK216" s="197" t="s">
        <v>790</v>
      </c>
      <c r="AL216" s="124" t="str">
        <f ca="1">Sprache!$A$111</f>
        <v>Комплект (Л + П)</v>
      </c>
      <c r="AM216" s="187" t="s">
        <v>25</v>
      </c>
      <c r="AN216" s="187" t="str">
        <f ca="1">Sprache!$A$132</f>
        <v>регулируется</v>
      </c>
      <c r="AO216" s="187" t="s">
        <v>25</v>
      </c>
      <c r="AP216" s="187" t="s">
        <v>25</v>
      </c>
      <c r="AQ216" s="187">
        <f>Limits!$K$9</f>
        <v>200</v>
      </c>
      <c r="AR216" s="124">
        <v>1200</v>
      </c>
      <c r="AS216" s="187"/>
      <c r="AT216" s="124"/>
      <c r="AU216"/>
      <c r="AV216"/>
      <c r="AY216"/>
      <c r="AZ216"/>
      <c r="BA216"/>
      <c r="BB216"/>
      <c r="BC216"/>
    </row>
    <row r="217" spans="1:55" s="5" customFormat="1" hidden="1" x14ac:dyDescent="0.25">
      <c r="A217" s="12" t="str">
        <f ca="1">IF(F217+G217+H217+I217+J217+D217+E217=3,IF(Tabelle2[[#This Row],[Kappe Weiß]]=Limits!$R$29,1,""),"")</f>
        <v/>
      </c>
      <c r="B217" s="12" t="str">
        <f ca="1">IF(G217+H217+I217+J217+E217+F217=2,IF(Tabelle2[[#This Row],[Kappe Weiß]]=Limits!$R$29,1,""),"")</f>
        <v/>
      </c>
      <c r="C217" s="291">
        <v>0</v>
      </c>
      <c r="D217" s="171">
        <f>IF(Limits!$P$11=TRUE,1,0)</f>
        <v>0</v>
      </c>
      <c r="E217" s="172">
        <f>IF(Daten!$P217+Daten!$Q217+Daten!$S217=3,1,0)</f>
        <v>0</v>
      </c>
      <c r="F217" s="173">
        <f ca="1">IF(AND(Limits!$Q$21=TRUE,Daten!O217=1)=TRUE,1,0)</f>
        <v>0</v>
      </c>
      <c r="G217" s="174">
        <f>IF(AND(Limits!$Q$25=TRUE,Daten!N217=1)=TRUE,1,0)</f>
        <v>0</v>
      </c>
      <c r="H217" s="174">
        <f>IF(AND(Limits!$Q$24=TRUE,Daten!M217=1)=TRUE,1,0)</f>
        <v>0</v>
      </c>
      <c r="I217" s="174">
        <f>IF(AND(Limits!$Q$23=TRUE,Daten!L217=1)=TRUE,1,0)</f>
        <v>0</v>
      </c>
      <c r="J217" s="174">
        <f>IF(AND(Limits!$Q$22=TRUE,Daten!K217=1)=TRUE,1,0)</f>
        <v>0</v>
      </c>
      <c r="K217" s="188">
        <f>IF(Daten!$V217=13,1,0)</f>
        <v>0</v>
      </c>
      <c r="L217" s="189">
        <f>IF(Daten!$V217&lt;&gt;Daten!$W217,1,IF(Daten!$V217=14,1,0))</f>
        <v>0</v>
      </c>
      <c r="M217" s="189">
        <f>IF(Daten!$V217&lt;&gt;Daten!$W217,1,IF(Daten!$V217=16,1,0))</f>
        <v>1</v>
      </c>
      <c r="N217" s="189">
        <f>IF(Daten!$W217=17,1,0)</f>
        <v>0</v>
      </c>
      <c r="O217" s="190">
        <f ca="1">IF(Daten!$X217=Sprache!$A$70,1,0)</f>
        <v>0</v>
      </c>
      <c r="P217" s="191">
        <f>IF(AND(Daten!$AQ217&lt;=KINVARO!$AW$3,Daten!$AR217&gt;=KINVARO!$AW$3)=TRUE,1,0)</f>
        <v>1</v>
      </c>
      <c r="Q217" s="192">
        <f>IF(AND(Daten!$AA217&lt;=KINVARO!$AW$4,Daten!$AB217&gt;=KINVARO!$AW$4)=TRUE,1,0)</f>
        <v>0</v>
      </c>
      <c r="R217" s="192"/>
      <c r="S217" s="192">
        <f>IF(AND(Daten!$AD217&lt;=Limits!$I$70,Daten!$AE217&gt;=Limits!$I$70)=TRUE,1,0)</f>
        <v>0</v>
      </c>
      <c r="T217" s="193">
        <f ca="1">IF(Daten!$Y217=Sprache!$A$135,1,0)</f>
        <v>0</v>
      </c>
      <c r="U217" s="124" t="str">
        <f ca="1">Sprache!$A$63</f>
        <v>T-57 Поворотный подъемник</v>
      </c>
      <c r="V217" s="194">
        <v>16</v>
      </c>
      <c r="W217" s="193">
        <v>16</v>
      </c>
      <c r="X217" s="187" t="str">
        <f ca="1">Sprache!$A$141</f>
        <v>Alu</v>
      </c>
      <c r="Y217" s="187" t="str">
        <f ca="1">Sprache!$A$136</f>
        <v>nein</v>
      </c>
      <c r="Z217" s="187" t="str">
        <f ca="1">Sprache!$A$79</f>
        <v>Створка</v>
      </c>
      <c r="AA217" s="187">
        <v>450</v>
      </c>
      <c r="AB217" s="124">
        <v>499</v>
      </c>
      <c r="AC217" s="187">
        <v>19</v>
      </c>
      <c r="AD217" s="195">
        <v>1.5</v>
      </c>
      <c r="AE217" s="196">
        <v>3.6</v>
      </c>
      <c r="AF217" s="263" t="str">
        <f>MID(Tabelle2[[#This Row],[bnr full]],1,4)</f>
        <v>F151</v>
      </c>
      <c r="AG217" s="264" t="str">
        <f>MID(Tabelle2[[#This Row],[bnr full]],5,3)</f>
        <v>145</v>
      </c>
      <c r="AH217" s="265" t="str">
        <f>MID(Tabelle2[[#This Row],[bnr full]],8,3)</f>
        <v>223</v>
      </c>
      <c r="AI217" s="264" t="str">
        <f>MID(Tabelle2[[#This Row],[bnr full]],11,3)</f>
        <v>201</v>
      </c>
      <c r="AJ217" s="252" t="str">
        <f>MID(Tabelle2[[#This Row],[bnr full]],11,3)</f>
        <v>201</v>
      </c>
      <c r="AK217" s="197" t="s">
        <v>791</v>
      </c>
      <c r="AL217" s="124" t="str">
        <f ca="1">Sprache!$A$111</f>
        <v>Комплект (Л + П)</v>
      </c>
      <c r="AM217" s="187" t="s">
        <v>25</v>
      </c>
      <c r="AN217" s="187" t="str">
        <f ca="1">Sprache!$A$132</f>
        <v>регулируется</v>
      </c>
      <c r="AO217" s="187" t="s">
        <v>25</v>
      </c>
      <c r="AP217" s="187" t="s">
        <v>25</v>
      </c>
      <c r="AQ217" s="187">
        <f>Limits!$K$9</f>
        <v>200</v>
      </c>
      <c r="AR217" s="124">
        <v>1200</v>
      </c>
      <c r="AS217" s="187"/>
      <c r="AT217" s="124"/>
    </row>
    <row r="218" spans="1:55" hidden="1" x14ac:dyDescent="0.25">
      <c r="A218" s="12" t="str">
        <f ca="1">IF(F218+G218+H218+I218+J218+D218+E218=3,IF(Tabelle2[[#This Row],[Kappe Weiß]]=Limits!$R$29,1,""),"")</f>
        <v/>
      </c>
      <c r="B218" s="12" t="str">
        <f ca="1">IF(G218+H218+I218+J218+E218+F218=2,IF(Tabelle2[[#This Row],[Kappe Weiß]]=Limits!$R$29,1,""),"")</f>
        <v/>
      </c>
      <c r="C218" s="292">
        <v>0</v>
      </c>
      <c r="D218" s="171">
        <f>IF(Limits!$P$11=TRUE,1,0)</f>
        <v>0</v>
      </c>
      <c r="E218" s="172">
        <f>IF(Daten!$P218+Daten!$Q218+Daten!$S218=3,1,0)</f>
        <v>0</v>
      </c>
      <c r="F218" s="173">
        <f ca="1">IF(AND(Limits!$Q$21=TRUE,Daten!O218=1)=TRUE,1,0)</f>
        <v>1</v>
      </c>
      <c r="G218" s="174">
        <f ca="1">IF(AND(Limits!$Q$25=TRUE,Daten!N218=1)=TRUE,1,0)</f>
        <v>0</v>
      </c>
      <c r="H218" s="174">
        <f ca="1">IF(AND(Limits!$Q$24=TRUE,Daten!M218=1)=TRUE,1,0)</f>
        <v>0</v>
      </c>
      <c r="I218" s="174">
        <f ca="1">IF(AND(Limits!$Q$23=TRUE,Daten!L218=1)=TRUE,1,0)</f>
        <v>0</v>
      </c>
      <c r="J218" s="174">
        <f ca="1">IF(AND(Limits!$Q$22=TRUE,Daten!K218=1)=TRUE,1,0)</f>
        <v>0</v>
      </c>
      <c r="K218" s="188">
        <f ca="1">IF(Daten!$V218=13,1,0)</f>
        <v>0</v>
      </c>
      <c r="L218" s="189">
        <f ca="1">IF(Daten!$V218&lt;&gt;Daten!$W218,1,IF(Daten!$V218=14,1,0))</f>
        <v>0</v>
      </c>
      <c r="M218" s="189">
        <f ca="1">IF(Daten!$V218&lt;&gt;Daten!$W218,1,IF(Daten!$V218=16,1,0))</f>
        <v>0</v>
      </c>
      <c r="N218" s="189">
        <f ca="1">IF(Daten!$W218=17,1,0)</f>
        <v>0</v>
      </c>
      <c r="O218" s="190">
        <f ca="1">IF(Daten!$X218=Sprache!$A$70,1,0)</f>
        <v>1</v>
      </c>
      <c r="P218" s="198">
        <f>IF(AND(Daten!$AQ218&lt;=KINVARO!$AW$3,Daten!$AR218&gt;=KINVARO!$AW$3)=TRUE,1,0)</f>
        <v>1</v>
      </c>
      <c r="Q218" s="199">
        <f>IF(AND(Daten!$AA218&lt;=KINVARO!$AW$4,Daten!$AB218&gt;=KINVARO!$AW$4)=TRUE,1,0)</f>
        <v>0</v>
      </c>
      <c r="R218" s="199"/>
      <c r="S218" s="199">
        <f>IF(AND(Daten!$AD218&lt;=Limits!$I$70,Daten!$AE218&gt;=Limits!$I$70)=TRUE,1,0)</f>
        <v>0</v>
      </c>
      <c r="T218" s="200">
        <f ca="1">IF(Daten!$Y218=Sprache!$A$135,1,0)</f>
        <v>0</v>
      </c>
      <c r="U218" s="201" t="str">
        <f ca="1">Sprache!$A$63</f>
        <v>T-57 Поворотный подъемник</v>
      </c>
      <c r="V218" s="202" t="str">
        <f ca="1">Sprache!$A$74</f>
        <v>var</v>
      </c>
      <c r="W218" s="200" t="str">
        <f ca="1">Sprache!$A$74</f>
        <v>var</v>
      </c>
      <c r="X218" s="203" t="str">
        <f ca="1">Sprache!$A$70</f>
        <v>соединение с древесиной</v>
      </c>
      <c r="Y218" s="187" t="str">
        <f ca="1">Sprache!$A$136</f>
        <v>nein</v>
      </c>
      <c r="Z218" s="203" t="str">
        <f ca="1">Sprache!$A$79</f>
        <v>Створка</v>
      </c>
      <c r="AA218" s="203">
        <v>500</v>
      </c>
      <c r="AB218" s="201">
        <v>549</v>
      </c>
      <c r="AC218" s="203">
        <v>19</v>
      </c>
      <c r="AD218" s="204">
        <v>1.7</v>
      </c>
      <c r="AE218" s="205">
        <v>2.9</v>
      </c>
      <c r="AF218" s="266" t="str">
        <f>MID(Tabelle2[[#This Row],[bnr full]],1,4)</f>
        <v>F151</v>
      </c>
      <c r="AG218" s="267" t="str">
        <f>MID(Tabelle2[[#This Row],[bnr full]],5,3)</f>
        <v>145</v>
      </c>
      <c r="AH218" s="268" t="str">
        <f>MID(Tabelle2[[#This Row],[bnr full]],8,3)</f>
        <v>224</v>
      </c>
      <c r="AI218" s="267" t="str">
        <f>MID(Tabelle2[[#This Row],[bnr full]],11,3)</f>
        <v>201</v>
      </c>
      <c r="AJ218" s="253" t="str">
        <f>MID(Tabelle2[[#This Row],[bnr full]],11,3)</f>
        <v>201</v>
      </c>
      <c r="AK218" s="206" t="s">
        <v>789</v>
      </c>
      <c r="AL218" s="201" t="str">
        <f ca="1">Sprache!$A$111</f>
        <v>Комплект (Л + П)</v>
      </c>
      <c r="AM218" s="203" t="s">
        <v>25</v>
      </c>
      <c r="AN218" s="203" t="str">
        <f ca="1">Sprache!$A$132</f>
        <v>регулируется</v>
      </c>
      <c r="AO218" s="187" t="s">
        <v>25</v>
      </c>
      <c r="AP218" s="187" t="s">
        <v>25</v>
      </c>
      <c r="AQ218" s="203">
        <f>Limits!$K$9</f>
        <v>200</v>
      </c>
      <c r="AR218" s="201">
        <v>1200</v>
      </c>
      <c r="AS218" s="187"/>
      <c r="AT218" s="124"/>
      <c r="AU218"/>
      <c r="AV218"/>
      <c r="AY218"/>
      <c r="AZ218"/>
      <c r="BA218"/>
      <c r="BB218"/>
      <c r="BC218"/>
    </row>
    <row r="219" spans="1:55" hidden="1" x14ac:dyDescent="0.25">
      <c r="A219" s="12" t="str">
        <f ca="1">IF(F219+G219+H219+I219+J219+D219+E219=3,IF(Tabelle2[[#This Row],[Kappe Weiß]]=Limits!$R$29,1,""),"")</f>
        <v/>
      </c>
      <c r="B219" s="12" t="str">
        <f ca="1">IF(G219+H219+I219+J219+E219+F219=2,IF(Tabelle2[[#This Row],[Kappe Weiß]]=Limits!$R$29,1,""),"")</f>
        <v/>
      </c>
      <c r="C219" s="291">
        <v>0</v>
      </c>
      <c r="D219" s="171">
        <f>IF(Limits!$P$11=TRUE,1,0)</f>
        <v>0</v>
      </c>
      <c r="E219" s="172">
        <f>IF(Daten!$P219+Daten!$Q219+Daten!$S219=3,1,0)</f>
        <v>0</v>
      </c>
      <c r="F219" s="173">
        <f ca="1">IF(AND(Limits!$Q$21=TRUE,Daten!O219=1)=TRUE,1,0)</f>
        <v>0</v>
      </c>
      <c r="G219" s="174">
        <f>IF(AND(Limits!$Q$25=TRUE,Daten!N219=1)=TRUE,1,0)</f>
        <v>0</v>
      </c>
      <c r="H219" s="174">
        <f>IF(AND(Limits!$Q$24=TRUE,Daten!M219=1)=TRUE,1,0)</f>
        <v>0</v>
      </c>
      <c r="I219" s="174">
        <f>IF(AND(Limits!$Q$23=TRUE,Daten!L219=1)=TRUE,1,0)</f>
        <v>0</v>
      </c>
      <c r="J219" s="174">
        <f>IF(AND(Limits!$Q$22=TRUE,Daten!K219=1)=TRUE,1,0)</f>
        <v>0</v>
      </c>
      <c r="K219" s="188">
        <f>IF(Daten!$V219=13,1,0)</f>
        <v>0</v>
      </c>
      <c r="L219" s="189">
        <f>IF(Daten!$V219&lt;&gt;Daten!$W219,1,IF(Daten!$V219=14,1,0))</f>
        <v>1</v>
      </c>
      <c r="M219" s="189">
        <f>IF(Daten!$V219&lt;&gt;Daten!$W219,1,IF(Daten!$V219=16,1,0))</f>
        <v>0</v>
      </c>
      <c r="N219" s="189">
        <f>IF(Daten!$W219=17,1,0)</f>
        <v>0</v>
      </c>
      <c r="O219" s="190">
        <f ca="1">IF(Daten!$X219=Sprache!$A$70,1,0)</f>
        <v>0</v>
      </c>
      <c r="P219" s="191">
        <f>IF(AND(Daten!$AQ219&lt;=KINVARO!$AW$3,Daten!$AR219&gt;=KINVARO!$AW$3)=TRUE,1,0)</f>
        <v>1</v>
      </c>
      <c r="Q219" s="192">
        <f>IF(AND(Daten!$AA219&lt;=KINVARO!$AW$4,Daten!$AB219&gt;=KINVARO!$AW$4)=TRUE,1,0)</f>
        <v>0</v>
      </c>
      <c r="R219" s="192"/>
      <c r="S219" s="192">
        <f>IF(AND(Daten!$AD219&lt;=Limits!$I$70,Daten!$AE219&gt;=Limits!$I$70)=TRUE,1,0)</f>
        <v>0</v>
      </c>
      <c r="T219" s="193">
        <f ca="1">IF(Daten!$Y219=Sprache!$A$135,1,0)</f>
        <v>0</v>
      </c>
      <c r="U219" s="124" t="str">
        <f ca="1">Sprache!$A$63</f>
        <v>T-57 Поворотный подъемник</v>
      </c>
      <c r="V219" s="194">
        <v>14</v>
      </c>
      <c r="W219" s="193">
        <v>14</v>
      </c>
      <c r="X219" s="187" t="str">
        <f ca="1">Sprache!$A$141</f>
        <v>Alu</v>
      </c>
      <c r="Y219" s="187" t="str">
        <f ca="1">Sprache!$A$136</f>
        <v>nein</v>
      </c>
      <c r="Z219" s="187" t="str">
        <f ca="1">Sprache!$A$79</f>
        <v>Створка</v>
      </c>
      <c r="AA219" s="187">
        <v>500</v>
      </c>
      <c r="AB219" s="124">
        <v>549</v>
      </c>
      <c r="AC219" s="187">
        <v>19</v>
      </c>
      <c r="AD219" s="195">
        <v>1.7</v>
      </c>
      <c r="AE219" s="196">
        <v>2.9</v>
      </c>
      <c r="AF219" s="263" t="str">
        <f>MID(Tabelle2[[#This Row],[bnr full]],1,4)</f>
        <v>F151</v>
      </c>
      <c r="AG219" s="264" t="str">
        <f>MID(Tabelle2[[#This Row],[bnr full]],5,3)</f>
        <v>145</v>
      </c>
      <c r="AH219" s="265" t="str">
        <f>MID(Tabelle2[[#This Row],[bnr full]],8,3)</f>
        <v>222</v>
      </c>
      <c r="AI219" s="264" t="str">
        <f>MID(Tabelle2[[#This Row],[bnr full]],11,3)</f>
        <v>201</v>
      </c>
      <c r="AJ219" s="252" t="str">
        <f>MID(Tabelle2[[#This Row],[bnr full]],11,3)</f>
        <v>201</v>
      </c>
      <c r="AK219" s="197" t="s">
        <v>790</v>
      </c>
      <c r="AL219" s="124" t="str">
        <f ca="1">Sprache!$A$111</f>
        <v>Комплект (Л + П)</v>
      </c>
      <c r="AM219" s="187" t="s">
        <v>25</v>
      </c>
      <c r="AN219" s="187" t="str">
        <f ca="1">Sprache!$A$132</f>
        <v>регулируется</v>
      </c>
      <c r="AO219" s="187" t="s">
        <v>25</v>
      </c>
      <c r="AP219" s="187" t="s">
        <v>25</v>
      </c>
      <c r="AQ219" s="187">
        <f>Limits!$K$9</f>
        <v>200</v>
      </c>
      <c r="AR219" s="124">
        <v>1200</v>
      </c>
      <c r="AS219" s="187"/>
      <c r="AT219" s="124"/>
      <c r="AU219"/>
      <c r="AV219"/>
      <c r="AY219"/>
      <c r="AZ219"/>
      <c r="BA219"/>
      <c r="BB219"/>
      <c r="BC219"/>
    </row>
    <row r="220" spans="1:55" hidden="1" x14ac:dyDescent="0.25">
      <c r="A220" s="12" t="str">
        <f ca="1">IF(F220+G220+H220+I220+J220+D220+E220=3,IF(Tabelle2[[#This Row],[Kappe Weiß]]=Limits!$R$29,1,""),"")</f>
        <v/>
      </c>
      <c r="B220" s="12" t="str">
        <f ca="1">IF(G220+H220+I220+J220+E220+F220=2,IF(Tabelle2[[#This Row],[Kappe Weiß]]=Limits!$R$29,1,""),"")</f>
        <v/>
      </c>
      <c r="C220" s="291">
        <v>0</v>
      </c>
      <c r="D220" s="171">
        <f>IF(Limits!$P$11=TRUE,1,0)</f>
        <v>0</v>
      </c>
      <c r="E220" s="172">
        <f>IF(Daten!$P220+Daten!$Q220+Daten!$S220=3,1,0)</f>
        <v>0</v>
      </c>
      <c r="F220" s="173">
        <f ca="1">IF(AND(Limits!$Q$21=TRUE,Daten!O220=1)=TRUE,1,0)</f>
        <v>0</v>
      </c>
      <c r="G220" s="174">
        <f>IF(AND(Limits!$Q$25=TRUE,Daten!N220=1)=TRUE,1,0)</f>
        <v>0</v>
      </c>
      <c r="H220" s="174">
        <f>IF(AND(Limits!$Q$24=TRUE,Daten!M220=1)=TRUE,1,0)</f>
        <v>0</v>
      </c>
      <c r="I220" s="174">
        <f>IF(AND(Limits!$Q$23=TRUE,Daten!L220=1)=TRUE,1,0)</f>
        <v>0</v>
      </c>
      <c r="J220" s="174">
        <f>IF(AND(Limits!$Q$22=TRUE,Daten!K220=1)=TRUE,1,0)</f>
        <v>0</v>
      </c>
      <c r="K220" s="188">
        <f>IF(Daten!$V220=13,1,0)</f>
        <v>0</v>
      </c>
      <c r="L220" s="189">
        <f>IF(Daten!$V220&lt;&gt;Daten!$W220,1,IF(Daten!$V220=14,1,0))</f>
        <v>0</v>
      </c>
      <c r="M220" s="189">
        <f>IF(Daten!$V220&lt;&gt;Daten!$W220,1,IF(Daten!$V220=16,1,0))</f>
        <v>1</v>
      </c>
      <c r="N220" s="189">
        <f>IF(Daten!$W220=17,1,0)</f>
        <v>0</v>
      </c>
      <c r="O220" s="190">
        <f ca="1">IF(Daten!$X220=Sprache!$A$70,1,0)</f>
        <v>0</v>
      </c>
      <c r="P220" s="191">
        <f>IF(AND(Daten!$AQ220&lt;=KINVARO!$AW$3,Daten!$AR220&gt;=KINVARO!$AW$3)=TRUE,1,0)</f>
        <v>1</v>
      </c>
      <c r="Q220" s="192">
        <f>IF(AND(Daten!$AA220&lt;=KINVARO!$AW$4,Daten!$AB220&gt;=KINVARO!$AW$4)=TRUE,1,0)</f>
        <v>0</v>
      </c>
      <c r="R220" s="192"/>
      <c r="S220" s="192">
        <f>IF(AND(Daten!$AD220&lt;=Limits!$I$70,Daten!$AE220&gt;=Limits!$I$70)=TRUE,1,0)</f>
        <v>0</v>
      </c>
      <c r="T220" s="193">
        <f ca="1">IF(Daten!$Y220=Sprache!$A$135,1,0)</f>
        <v>0</v>
      </c>
      <c r="U220" s="124" t="str">
        <f ca="1">Sprache!$A$63</f>
        <v>T-57 Поворотный подъемник</v>
      </c>
      <c r="V220" s="194">
        <v>16</v>
      </c>
      <c r="W220" s="193">
        <v>16</v>
      </c>
      <c r="X220" s="187" t="str">
        <f ca="1">Sprache!$A$141</f>
        <v>Alu</v>
      </c>
      <c r="Y220" s="187" t="str">
        <f ca="1">Sprache!$A$136</f>
        <v>nein</v>
      </c>
      <c r="Z220" s="187" t="str">
        <f ca="1">Sprache!$A$79</f>
        <v>Створка</v>
      </c>
      <c r="AA220" s="187">
        <v>500</v>
      </c>
      <c r="AB220" s="124">
        <v>549</v>
      </c>
      <c r="AC220" s="187">
        <v>19</v>
      </c>
      <c r="AD220" s="195">
        <v>1.7</v>
      </c>
      <c r="AE220" s="196">
        <v>2.9</v>
      </c>
      <c r="AF220" s="263" t="str">
        <f>MID(Tabelle2[[#This Row],[bnr full]],1,4)</f>
        <v>F151</v>
      </c>
      <c r="AG220" s="264" t="str">
        <f>MID(Tabelle2[[#This Row],[bnr full]],5,3)</f>
        <v>145</v>
      </c>
      <c r="AH220" s="265" t="str">
        <f>MID(Tabelle2[[#This Row],[bnr full]],8,3)</f>
        <v>223</v>
      </c>
      <c r="AI220" s="264" t="str">
        <f>MID(Tabelle2[[#This Row],[bnr full]],11,3)</f>
        <v>201</v>
      </c>
      <c r="AJ220" s="252" t="str">
        <f>MID(Tabelle2[[#This Row],[bnr full]],11,3)</f>
        <v>201</v>
      </c>
      <c r="AK220" s="197" t="s">
        <v>791</v>
      </c>
      <c r="AL220" s="124" t="str">
        <f ca="1">Sprache!$A$111</f>
        <v>Комплект (Л + П)</v>
      </c>
      <c r="AM220" s="187" t="s">
        <v>25</v>
      </c>
      <c r="AN220" s="187" t="str">
        <f ca="1">Sprache!$A$132</f>
        <v>регулируется</v>
      </c>
      <c r="AO220" s="187" t="s">
        <v>25</v>
      </c>
      <c r="AP220" s="187" t="s">
        <v>25</v>
      </c>
      <c r="AQ220" s="187">
        <f>Limits!$K$9</f>
        <v>200</v>
      </c>
      <c r="AR220" s="124">
        <v>1200</v>
      </c>
      <c r="AS220" s="187"/>
      <c r="AT220" s="124"/>
      <c r="AU220"/>
      <c r="AV220"/>
      <c r="AY220"/>
      <c r="AZ220"/>
      <c r="BA220"/>
      <c r="BB220"/>
      <c r="BC220"/>
    </row>
    <row r="221" spans="1:55" hidden="1" x14ac:dyDescent="0.25">
      <c r="A221" s="12" t="str">
        <f ca="1">IF(F221+G221+H221+I221+J221+D221+E221=3,IF(Tabelle2[[#This Row],[Kappe Weiß]]=Limits!$R$29,1,""),"")</f>
        <v/>
      </c>
      <c r="B221" s="12" t="str">
        <f ca="1">IF(G221+H221+I221+J221+E221+F221=2,IF(Tabelle2[[#This Row],[Kappe Weiß]]=Limits!$R$29,1,""),"")</f>
        <v/>
      </c>
      <c r="C221" s="292">
        <v>0</v>
      </c>
      <c r="D221" s="171">
        <f>IF(Limits!$P$11=TRUE,1,0)</f>
        <v>0</v>
      </c>
      <c r="E221" s="172">
        <f>IF(Daten!$P221+Daten!$Q221+Daten!$S221=3,1,0)</f>
        <v>0</v>
      </c>
      <c r="F221" s="173">
        <f ca="1">IF(AND(Limits!$Q$21=TRUE,Daten!O221=1)=TRUE,1,0)</f>
        <v>1</v>
      </c>
      <c r="G221" s="174">
        <f ca="1">IF(AND(Limits!$Q$25=TRUE,Daten!N221=1)=TRUE,1,0)</f>
        <v>0</v>
      </c>
      <c r="H221" s="174">
        <f ca="1">IF(AND(Limits!$Q$24=TRUE,Daten!M221=1)=TRUE,1,0)</f>
        <v>0</v>
      </c>
      <c r="I221" s="174">
        <f ca="1">IF(AND(Limits!$Q$23=TRUE,Daten!L221=1)=TRUE,1,0)</f>
        <v>0</v>
      </c>
      <c r="J221" s="174">
        <f ca="1">IF(AND(Limits!$Q$22=TRUE,Daten!K221=1)=TRUE,1,0)</f>
        <v>0</v>
      </c>
      <c r="K221" s="188">
        <f ca="1">IF(Daten!$V221=13,1,0)</f>
        <v>0</v>
      </c>
      <c r="L221" s="189">
        <f ca="1">IF(Daten!$V221&lt;&gt;Daten!$W221,1,IF(Daten!$V221=14,1,0))</f>
        <v>0</v>
      </c>
      <c r="M221" s="189">
        <f ca="1">IF(Daten!$V221&lt;&gt;Daten!$W221,1,IF(Daten!$V221=16,1,0))</f>
        <v>0</v>
      </c>
      <c r="N221" s="189">
        <f ca="1">IF(Daten!$W221=17,1,0)</f>
        <v>0</v>
      </c>
      <c r="O221" s="190">
        <f ca="1">IF(Daten!$X221=Sprache!$A$70,1,0)</f>
        <v>1</v>
      </c>
      <c r="P221" s="198">
        <f>IF(AND(Daten!$AQ221&lt;=KINVARO!$AW$3,Daten!$AR221&gt;=KINVARO!$AW$3)=TRUE,1,0)</f>
        <v>1</v>
      </c>
      <c r="Q221" s="199">
        <f>IF(AND(Daten!$AA221&lt;=KINVARO!$AW$4,Daten!$AB221&gt;=KINVARO!$AW$4)=TRUE,1,0)</f>
        <v>0</v>
      </c>
      <c r="R221" s="199"/>
      <c r="S221" s="199">
        <f>IF(AND(Daten!$AD221&lt;=Limits!$I$70,Daten!$AE221&gt;=Limits!$I$70)=TRUE,1,0)</f>
        <v>0</v>
      </c>
      <c r="T221" s="200">
        <f ca="1">IF(Daten!$Y221=Sprache!$A$135,1,0)</f>
        <v>0</v>
      </c>
      <c r="U221" s="201" t="str">
        <f ca="1">Sprache!$A$63</f>
        <v>T-57 Поворотный подъемник</v>
      </c>
      <c r="V221" s="202" t="str">
        <f ca="1">Sprache!$A$74</f>
        <v>var</v>
      </c>
      <c r="W221" s="200" t="str">
        <f ca="1">Sprache!$A$74</f>
        <v>var</v>
      </c>
      <c r="X221" s="203" t="str">
        <f ca="1">Sprache!$A$70</f>
        <v>соединение с древесиной</v>
      </c>
      <c r="Y221" s="187" t="str">
        <f ca="1">Sprache!$A$136</f>
        <v>nein</v>
      </c>
      <c r="Z221" s="203" t="str">
        <f ca="1">Sprache!$A$79</f>
        <v>Створка</v>
      </c>
      <c r="AA221" s="203">
        <v>550</v>
      </c>
      <c r="AB221" s="201">
        <v>599</v>
      </c>
      <c r="AC221" s="203">
        <v>19</v>
      </c>
      <c r="AD221" s="204">
        <v>1.9</v>
      </c>
      <c r="AE221" s="205">
        <v>2.7</v>
      </c>
      <c r="AF221" s="266" t="str">
        <f>MID(Tabelle2[[#This Row],[bnr full]],1,4)</f>
        <v>F151</v>
      </c>
      <c r="AG221" s="267" t="str">
        <f>MID(Tabelle2[[#This Row],[bnr full]],5,3)</f>
        <v>145</v>
      </c>
      <c r="AH221" s="268" t="str">
        <f>MID(Tabelle2[[#This Row],[bnr full]],8,3)</f>
        <v>224</v>
      </c>
      <c r="AI221" s="267" t="str">
        <f>MID(Tabelle2[[#This Row],[bnr full]],11,3)</f>
        <v>201</v>
      </c>
      <c r="AJ221" s="253" t="str">
        <f>MID(Tabelle2[[#This Row],[bnr full]],11,3)</f>
        <v>201</v>
      </c>
      <c r="AK221" s="206" t="s">
        <v>789</v>
      </c>
      <c r="AL221" s="201" t="str">
        <f ca="1">Sprache!$A$111</f>
        <v>Комплект (Л + П)</v>
      </c>
      <c r="AM221" s="203" t="s">
        <v>25</v>
      </c>
      <c r="AN221" s="203" t="str">
        <f ca="1">Sprache!$A$132</f>
        <v>регулируется</v>
      </c>
      <c r="AO221" s="187" t="s">
        <v>25</v>
      </c>
      <c r="AP221" s="187" t="s">
        <v>25</v>
      </c>
      <c r="AQ221" s="203">
        <f>Limits!$K$9</f>
        <v>200</v>
      </c>
      <c r="AR221" s="201">
        <v>1200</v>
      </c>
      <c r="AS221" s="187"/>
      <c r="AT221" s="124"/>
      <c r="AU221"/>
      <c r="AV221"/>
      <c r="AY221"/>
      <c r="AZ221"/>
      <c r="BA221"/>
      <c r="BB221"/>
      <c r="BC221"/>
    </row>
    <row r="222" spans="1:55" hidden="1" x14ac:dyDescent="0.25">
      <c r="A222" s="12" t="str">
        <f ca="1">IF(F222+G222+H222+I222+J222+D222+E222=3,IF(Tabelle2[[#This Row],[Kappe Weiß]]=Limits!$R$29,1,""),"")</f>
        <v/>
      </c>
      <c r="B222" s="12" t="str">
        <f ca="1">IF(G222+H222+I222+J222+E222+F222=2,IF(Tabelle2[[#This Row],[Kappe Weiß]]=Limits!$R$29,1,""),"")</f>
        <v/>
      </c>
      <c r="C222" s="291">
        <v>0</v>
      </c>
      <c r="D222" s="171">
        <f>IF(Limits!$P$11=TRUE,1,0)</f>
        <v>0</v>
      </c>
      <c r="E222" s="172">
        <f>IF(Daten!$P222+Daten!$Q222+Daten!$S222=3,1,0)</f>
        <v>0</v>
      </c>
      <c r="F222" s="173">
        <f ca="1">IF(AND(Limits!$Q$21=TRUE,Daten!O222=1)=TRUE,1,0)</f>
        <v>0</v>
      </c>
      <c r="G222" s="174">
        <f>IF(AND(Limits!$Q$25=TRUE,Daten!N222=1)=TRUE,1,0)</f>
        <v>0</v>
      </c>
      <c r="H222" s="174">
        <f>IF(AND(Limits!$Q$24=TRUE,Daten!M222=1)=TRUE,1,0)</f>
        <v>0</v>
      </c>
      <c r="I222" s="174">
        <f>IF(AND(Limits!$Q$23=TRUE,Daten!L222=1)=TRUE,1,0)</f>
        <v>0</v>
      </c>
      <c r="J222" s="174">
        <f>IF(AND(Limits!$Q$22=TRUE,Daten!K222=1)=TRUE,1,0)</f>
        <v>0</v>
      </c>
      <c r="K222" s="188">
        <f>IF(Daten!$V222=13,1,0)</f>
        <v>0</v>
      </c>
      <c r="L222" s="189">
        <f>IF(Daten!$V222&lt;&gt;Daten!$W222,1,IF(Daten!$V222=14,1,0))</f>
        <v>1</v>
      </c>
      <c r="M222" s="189">
        <f>IF(Daten!$V222&lt;&gt;Daten!$W222,1,IF(Daten!$V222=16,1,0))</f>
        <v>0</v>
      </c>
      <c r="N222" s="189">
        <f>IF(Daten!$W222=17,1,0)</f>
        <v>0</v>
      </c>
      <c r="O222" s="190">
        <f ca="1">IF(Daten!$X222=Sprache!$A$70,1,0)</f>
        <v>0</v>
      </c>
      <c r="P222" s="191">
        <f>IF(AND(Daten!$AQ222&lt;=KINVARO!$AW$3,Daten!$AR222&gt;=KINVARO!$AW$3)=TRUE,1,0)</f>
        <v>1</v>
      </c>
      <c r="Q222" s="192">
        <f>IF(AND(Daten!$AA222&lt;=KINVARO!$AW$4,Daten!$AB222&gt;=KINVARO!$AW$4)=TRUE,1,0)</f>
        <v>0</v>
      </c>
      <c r="R222" s="192"/>
      <c r="S222" s="192">
        <f>IF(AND(Daten!$AD222&lt;=Limits!$I$70,Daten!$AE222&gt;=Limits!$I$70)=TRUE,1,0)</f>
        <v>0</v>
      </c>
      <c r="T222" s="193">
        <f ca="1">IF(Daten!$Y222=Sprache!$A$135,1,0)</f>
        <v>0</v>
      </c>
      <c r="U222" s="124" t="str">
        <f ca="1">Sprache!$A$63</f>
        <v>T-57 Поворотный подъемник</v>
      </c>
      <c r="V222" s="194">
        <v>14</v>
      </c>
      <c r="W222" s="193">
        <v>14</v>
      </c>
      <c r="X222" s="187" t="str">
        <f ca="1">Sprache!$A$141</f>
        <v>Alu</v>
      </c>
      <c r="Y222" s="187" t="str">
        <f ca="1">Sprache!$A$136</f>
        <v>nein</v>
      </c>
      <c r="Z222" s="187" t="str">
        <f ca="1">Sprache!$A$79</f>
        <v>Створка</v>
      </c>
      <c r="AA222" s="187">
        <v>550</v>
      </c>
      <c r="AB222" s="124">
        <v>599</v>
      </c>
      <c r="AC222" s="187">
        <v>19</v>
      </c>
      <c r="AD222" s="195">
        <v>1.9</v>
      </c>
      <c r="AE222" s="196">
        <v>2.7</v>
      </c>
      <c r="AF222" s="263" t="str">
        <f>MID(Tabelle2[[#This Row],[bnr full]],1,4)</f>
        <v>F151</v>
      </c>
      <c r="AG222" s="264" t="str">
        <f>MID(Tabelle2[[#This Row],[bnr full]],5,3)</f>
        <v>145</v>
      </c>
      <c r="AH222" s="265" t="str">
        <f>MID(Tabelle2[[#This Row],[bnr full]],8,3)</f>
        <v>222</v>
      </c>
      <c r="AI222" s="264" t="str">
        <f>MID(Tabelle2[[#This Row],[bnr full]],11,3)</f>
        <v>201</v>
      </c>
      <c r="AJ222" s="252" t="str">
        <f>MID(Tabelle2[[#This Row],[bnr full]],11,3)</f>
        <v>201</v>
      </c>
      <c r="AK222" s="197" t="s">
        <v>790</v>
      </c>
      <c r="AL222" s="124" t="str">
        <f ca="1">Sprache!$A$111</f>
        <v>Комплект (Л + П)</v>
      </c>
      <c r="AM222" s="187" t="s">
        <v>25</v>
      </c>
      <c r="AN222" s="187" t="str">
        <f ca="1">Sprache!$A$132</f>
        <v>регулируется</v>
      </c>
      <c r="AO222" s="187" t="s">
        <v>25</v>
      </c>
      <c r="AP222" s="187" t="s">
        <v>25</v>
      </c>
      <c r="AQ222" s="187">
        <f>Limits!$K$9</f>
        <v>200</v>
      </c>
      <c r="AR222" s="124">
        <v>1200</v>
      </c>
      <c r="AS222" s="187"/>
      <c r="AT222" s="124"/>
      <c r="AU222"/>
      <c r="AV222"/>
      <c r="AY222"/>
      <c r="AZ222"/>
      <c r="BA222"/>
      <c r="BB222"/>
      <c r="BC222"/>
    </row>
    <row r="223" spans="1:55" hidden="1" x14ac:dyDescent="0.25">
      <c r="A223" s="12" t="str">
        <f ca="1">IF(F223+G223+H223+I223+J223+D223+E223=3,IF(Tabelle2[[#This Row],[Kappe Weiß]]=Limits!$R$29,1,""),"")</f>
        <v/>
      </c>
      <c r="B223" s="12" t="str">
        <f ca="1">IF(G223+H223+I223+J223+E223+F223=2,IF(Tabelle2[[#This Row],[Kappe Weiß]]=Limits!$R$29,1,""),"")</f>
        <v/>
      </c>
      <c r="C223" s="291">
        <v>0</v>
      </c>
      <c r="D223" s="171">
        <f>IF(Limits!$P$11=TRUE,1,0)</f>
        <v>0</v>
      </c>
      <c r="E223" s="172">
        <f>IF(Daten!$P223+Daten!$Q223+Daten!$S223=3,1,0)</f>
        <v>0</v>
      </c>
      <c r="F223" s="173">
        <f ca="1">IF(AND(Limits!$Q$21=TRUE,Daten!O223=1)=TRUE,1,0)</f>
        <v>0</v>
      </c>
      <c r="G223" s="174">
        <f>IF(AND(Limits!$Q$25=TRUE,Daten!N223=1)=TRUE,1,0)</f>
        <v>0</v>
      </c>
      <c r="H223" s="174">
        <f>IF(AND(Limits!$Q$24=TRUE,Daten!M223=1)=TRUE,1,0)</f>
        <v>0</v>
      </c>
      <c r="I223" s="174">
        <f>IF(AND(Limits!$Q$23=TRUE,Daten!L223=1)=TRUE,1,0)</f>
        <v>0</v>
      </c>
      <c r="J223" s="174">
        <f>IF(AND(Limits!$Q$22=TRUE,Daten!K223=1)=TRUE,1,0)</f>
        <v>0</v>
      </c>
      <c r="K223" s="188">
        <f>IF(Daten!$V223=13,1,0)</f>
        <v>0</v>
      </c>
      <c r="L223" s="189">
        <f>IF(Daten!$V223&lt;&gt;Daten!$W223,1,IF(Daten!$V223=14,1,0))</f>
        <v>0</v>
      </c>
      <c r="M223" s="189">
        <f>IF(Daten!$V223&lt;&gt;Daten!$W223,1,IF(Daten!$V223=16,1,0))</f>
        <v>1</v>
      </c>
      <c r="N223" s="189">
        <f>IF(Daten!$W223=17,1,0)</f>
        <v>0</v>
      </c>
      <c r="O223" s="190">
        <f ca="1">IF(Daten!$X223=Sprache!$A$70,1,0)</f>
        <v>0</v>
      </c>
      <c r="P223" s="191">
        <f>IF(AND(Daten!$AQ223&lt;=KINVARO!$AW$3,Daten!$AR223&gt;=KINVARO!$AW$3)=TRUE,1,0)</f>
        <v>1</v>
      </c>
      <c r="Q223" s="192">
        <f>IF(AND(Daten!$AA223&lt;=KINVARO!$AW$4,Daten!$AB223&gt;=KINVARO!$AW$4)=TRUE,1,0)</f>
        <v>0</v>
      </c>
      <c r="R223" s="192"/>
      <c r="S223" s="192">
        <f>IF(AND(Daten!$AD223&lt;=Limits!$I$70,Daten!$AE223&gt;=Limits!$I$70)=TRUE,1,0)</f>
        <v>0</v>
      </c>
      <c r="T223" s="193">
        <f ca="1">IF(Daten!$Y223=Sprache!$A$135,1,0)</f>
        <v>0</v>
      </c>
      <c r="U223" s="124" t="str">
        <f ca="1">Sprache!$A$63</f>
        <v>T-57 Поворотный подъемник</v>
      </c>
      <c r="V223" s="194">
        <v>16</v>
      </c>
      <c r="W223" s="193">
        <v>16</v>
      </c>
      <c r="X223" s="187" t="str">
        <f ca="1">Sprache!$A$141</f>
        <v>Alu</v>
      </c>
      <c r="Y223" s="187" t="str">
        <f ca="1">Sprache!$A$136</f>
        <v>nein</v>
      </c>
      <c r="Z223" s="187" t="str">
        <f ca="1">Sprache!$A$79</f>
        <v>Створка</v>
      </c>
      <c r="AA223" s="187">
        <v>550</v>
      </c>
      <c r="AB223" s="124">
        <v>599</v>
      </c>
      <c r="AC223" s="187">
        <v>19</v>
      </c>
      <c r="AD223" s="195">
        <v>1.9</v>
      </c>
      <c r="AE223" s="196">
        <v>2.7</v>
      </c>
      <c r="AF223" s="263" t="str">
        <f>MID(Tabelle2[[#This Row],[bnr full]],1,4)</f>
        <v>F151</v>
      </c>
      <c r="AG223" s="264" t="str">
        <f>MID(Tabelle2[[#This Row],[bnr full]],5,3)</f>
        <v>145</v>
      </c>
      <c r="AH223" s="265" t="str">
        <f>MID(Tabelle2[[#This Row],[bnr full]],8,3)</f>
        <v>223</v>
      </c>
      <c r="AI223" s="264" t="str">
        <f>MID(Tabelle2[[#This Row],[bnr full]],11,3)</f>
        <v>201</v>
      </c>
      <c r="AJ223" s="252" t="str">
        <f>MID(Tabelle2[[#This Row],[bnr full]],11,3)</f>
        <v>201</v>
      </c>
      <c r="AK223" s="197" t="s">
        <v>791</v>
      </c>
      <c r="AL223" s="124" t="str">
        <f ca="1">Sprache!$A$111</f>
        <v>Комплект (Л + П)</v>
      </c>
      <c r="AM223" s="187" t="s">
        <v>25</v>
      </c>
      <c r="AN223" s="187" t="str">
        <f ca="1">Sprache!$A$132</f>
        <v>регулируется</v>
      </c>
      <c r="AO223" s="187" t="s">
        <v>25</v>
      </c>
      <c r="AP223" s="187" t="s">
        <v>25</v>
      </c>
      <c r="AQ223" s="187">
        <f>Limits!$K$9</f>
        <v>200</v>
      </c>
      <c r="AR223" s="124">
        <v>1200</v>
      </c>
      <c r="AS223" s="187"/>
      <c r="AT223" s="124"/>
      <c r="AU223"/>
      <c r="AV223"/>
      <c r="AY223"/>
      <c r="AZ223"/>
      <c r="BA223"/>
      <c r="BB223"/>
      <c r="BC223"/>
    </row>
    <row r="224" spans="1:55" hidden="1" x14ac:dyDescent="0.25">
      <c r="A224" s="12" t="str">
        <f ca="1">IF(F224+G224+H224+I224+J224+D224+E224=3,IF(Tabelle2[[#This Row],[Kappe Weiß]]=Limits!$R$29,1,""),"")</f>
        <v/>
      </c>
      <c r="B224" s="12" t="str">
        <f ca="1">IF(G224+H224+I224+J224+E224+F224=2,IF(Tabelle2[[#This Row],[Kappe Weiß]]=Limits!$R$29,1,""),"")</f>
        <v/>
      </c>
      <c r="C224" s="292">
        <v>0</v>
      </c>
      <c r="D224" s="171">
        <f>IF(Limits!$P$11=TRUE,1,0)</f>
        <v>0</v>
      </c>
      <c r="E224" s="172">
        <f>IF(Daten!$P224+Daten!$Q224+Daten!$S224=3,1,0)</f>
        <v>0</v>
      </c>
      <c r="F224" s="173">
        <f ca="1">IF(AND(Limits!$Q$21=TRUE,Daten!O224=1)=TRUE,1,0)</f>
        <v>1</v>
      </c>
      <c r="G224" s="174">
        <f ca="1">IF(AND(Limits!$Q$25=TRUE,Daten!N224=1)=TRUE,1,0)</f>
        <v>0</v>
      </c>
      <c r="H224" s="174">
        <f ca="1">IF(AND(Limits!$Q$24=TRUE,Daten!M224=1)=TRUE,1,0)</f>
        <v>0</v>
      </c>
      <c r="I224" s="174">
        <f ca="1">IF(AND(Limits!$Q$23=TRUE,Daten!L224=1)=TRUE,1,0)</f>
        <v>0</v>
      </c>
      <c r="J224" s="174">
        <f ca="1">IF(AND(Limits!$Q$22=TRUE,Daten!K224=1)=TRUE,1,0)</f>
        <v>0</v>
      </c>
      <c r="K224" s="188">
        <f ca="1">IF(Daten!$V224=13,1,0)</f>
        <v>0</v>
      </c>
      <c r="L224" s="189">
        <f ca="1">IF(Daten!$V224&lt;&gt;Daten!$W224,1,IF(Daten!$V224=14,1,0))</f>
        <v>0</v>
      </c>
      <c r="M224" s="189">
        <f ca="1">IF(Daten!$V224&lt;&gt;Daten!$W224,1,IF(Daten!$V224=16,1,0))</f>
        <v>0</v>
      </c>
      <c r="N224" s="189">
        <f ca="1">IF(Daten!$W224=17,1,0)</f>
        <v>0</v>
      </c>
      <c r="O224" s="190">
        <f ca="1">IF(Daten!$X224=Sprache!$A$70,1,0)</f>
        <v>1</v>
      </c>
      <c r="P224" s="198">
        <f>IF(AND(Daten!$AQ224&lt;=KINVARO!$AW$3,Daten!$AR224&gt;=KINVARO!$AW$3)=TRUE,1,0)</f>
        <v>1</v>
      </c>
      <c r="Q224" s="199">
        <f>IF(AND(Daten!$AA224&lt;=KINVARO!$AW$4,Daten!$AB224&gt;=KINVARO!$AW$4)=TRUE,1,0)</f>
        <v>0</v>
      </c>
      <c r="R224" s="199"/>
      <c r="S224" s="199">
        <f>IF(AND(Daten!$AD224&lt;=Limits!$I$70,Daten!$AE224&gt;=Limits!$I$70)=TRUE,1,0)</f>
        <v>0</v>
      </c>
      <c r="T224" s="200">
        <f ca="1">IF(Daten!$Y224=Sprache!$A$135,1,0)</f>
        <v>0</v>
      </c>
      <c r="U224" s="201" t="str">
        <f ca="1">Sprache!$A$63</f>
        <v>T-57 Поворотный подъемник</v>
      </c>
      <c r="V224" s="202" t="str">
        <f ca="1">Sprache!$A$74</f>
        <v>var</v>
      </c>
      <c r="W224" s="200" t="str">
        <f ca="1">Sprache!$A$74</f>
        <v>var</v>
      </c>
      <c r="X224" s="203" t="str">
        <f ca="1">Sprache!$A$70</f>
        <v>соединение с древесиной</v>
      </c>
      <c r="Y224" s="187" t="str">
        <f ca="1">Sprache!$A$136</f>
        <v>nein</v>
      </c>
      <c r="Z224" s="203" t="str">
        <f ca="1">Sprache!$A$79</f>
        <v>Створка</v>
      </c>
      <c r="AA224" s="203">
        <v>600</v>
      </c>
      <c r="AB224" s="201">
        <v>600</v>
      </c>
      <c r="AC224" s="203">
        <v>19</v>
      </c>
      <c r="AD224" s="204">
        <v>2.1</v>
      </c>
      <c r="AE224" s="205">
        <v>2.5</v>
      </c>
      <c r="AF224" s="266" t="str">
        <f>MID(Tabelle2[[#This Row],[bnr full]],1,4)</f>
        <v>F151</v>
      </c>
      <c r="AG224" s="267" t="str">
        <f>MID(Tabelle2[[#This Row],[bnr full]],5,3)</f>
        <v>145</v>
      </c>
      <c r="AH224" s="268" t="str">
        <f>MID(Tabelle2[[#This Row],[bnr full]],8,3)</f>
        <v>224</v>
      </c>
      <c r="AI224" s="267" t="str">
        <f>MID(Tabelle2[[#This Row],[bnr full]],11,3)</f>
        <v>201</v>
      </c>
      <c r="AJ224" s="253" t="str">
        <f>MID(Tabelle2[[#This Row],[bnr full]],11,3)</f>
        <v>201</v>
      </c>
      <c r="AK224" s="206" t="s">
        <v>789</v>
      </c>
      <c r="AL224" s="201" t="str">
        <f ca="1">Sprache!$A$111</f>
        <v>Комплект (Л + П)</v>
      </c>
      <c r="AM224" s="203" t="s">
        <v>25</v>
      </c>
      <c r="AN224" s="203" t="str">
        <f ca="1">Sprache!$A$132</f>
        <v>регулируется</v>
      </c>
      <c r="AO224" s="187" t="s">
        <v>25</v>
      </c>
      <c r="AP224" s="187" t="s">
        <v>25</v>
      </c>
      <c r="AQ224" s="203">
        <f>Limits!$K$9</f>
        <v>200</v>
      </c>
      <c r="AR224" s="201">
        <v>1200</v>
      </c>
      <c r="AS224" s="187"/>
      <c r="AT224" s="124"/>
      <c r="AU224"/>
      <c r="AV224"/>
      <c r="AY224"/>
      <c r="AZ224"/>
      <c r="BA224"/>
      <c r="BB224"/>
      <c r="BC224"/>
    </row>
    <row r="225" spans="1:55" hidden="1" x14ac:dyDescent="0.25">
      <c r="A225" s="12" t="str">
        <f ca="1">IF(F225+G225+H225+I225+J225+D225+E225=3,IF(Tabelle2[[#This Row],[Kappe Weiß]]=Limits!$R$29,1,""),"")</f>
        <v/>
      </c>
      <c r="B225" s="12" t="str">
        <f ca="1">IF(G225+H225+I225+J225+E225+F225=2,IF(Tabelle2[[#This Row],[Kappe Weiß]]=Limits!$R$29,1,""),"")</f>
        <v/>
      </c>
      <c r="C225" s="291">
        <v>0</v>
      </c>
      <c r="D225" s="171">
        <f>IF(Limits!$P$11=TRUE,1,0)</f>
        <v>0</v>
      </c>
      <c r="E225" s="172">
        <f>IF(Daten!$P225+Daten!$Q225+Daten!$S225=3,1,0)</f>
        <v>0</v>
      </c>
      <c r="F225" s="173">
        <f ca="1">IF(AND(Limits!$Q$21=TRUE,Daten!O225=1)=TRUE,1,0)</f>
        <v>0</v>
      </c>
      <c r="G225" s="174">
        <f>IF(AND(Limits!$Q$25=TRUE,Daten!N225=1)=TRUE,1,0)</f>
        <v>0</v>
      </c>
      <c r="H225" s="174">
        <f>IF(AND(Limits!$Q$24=TRUE,Daten!M225=1)=TRUE,1,0)</f>
        <v>0</v>
      </c>
      <c r="I225" s="174">
        <f>IF(AND(Limits!$Q$23=TRUE,Daten!L225=1)=TRUE,1,0)</f>
        <v>0</v>
      </c>
      <c r="J225" s="174">
        <f>IF(AND(Limits!$Q$22=TRUE,Daten!K225=1)=TRUE,1,0)</f>
        <v>0</v>
      </c>
      <c r="K225" s="188">
        <f>IF(Daten!$V225=13,1,0)</f>
        <v>0</v>
      </c>
      <c r="L225" s="189">
        <f>IF(Daten!$V225&lt;&gt;Daten!$W225,1,IF(Daten!$V225=14,1,0))</f>
        <v>1</v>
      </c>
      <c r="M225" s="189">
        <f>IF(Daten!$V225&lt;&gt;Daten!$W225,1,IF(Daten!$V225=16,1,0))</f>
        <v>0</v>
      </c>
      <c r="N225" s="189">
        <f>IF(Daten!$W225=17,1,0)</f>
        <v>0</v>
      </c>
      <c r="O225" s="190">
        <f ca="1">IF(Daten!$X225=Sprache!$A$70,1,0)</f>
        <v>0</v>
      </c>
      <c r="P225" s="191">
        <f>IF(AND(Daten!$AQ225&lt;=KINVARO!$AW$3,Daten!$AR225&gt;=KINVARO!$AW$3)=TRUE,1,0)</f>
        <v>1</v>
      </c>
      <c r="Q225" s="192">
        <f>IF(AND(Daten!$AA225&lt;=KINVARO!$AW$4,Daten!$AB225&gt;=KINVARO!$AW$4)=TRUE,1,0)</f>
        <v>0</v>
      </c>
      <c r="R225" s="192"/>
      <c r="S225" s="192">
        <f>IF(AND(Daten!$AD225&lt;=Limits!$I$70,Daten!$AE225&gt;=Limits!$I$70)=TRUE,1,0)</f>
        <v>0</v>
      </c>
      <c r="T225" s="193">
        <f ca="1">IF(Daten!$Y225=Sprache!$A$135,1,0)</f>
        <v>0</v>
      </c>
      <c r="U225" s="124" t="str">
        <f ca="1">Sprache!$A$63</f>
        <v>T-57 Поворотный подъемник</v>
      </c>
      <c r="V225" s="194">
        <v>14</v>
      </c>
      <c r="W225" s="193">
        <v>14</v>
      </c>
      <c r="X225" s="187" t="str">
        <f ca="1">Sprache!$A$141</f>
        <v>Alu</v>
      </c>
      <c r="Y225" s="187" t="str">
        <f ca="1">Sprache!$A$136</f>
        <v>nein</v>
      </c>
      <c r="Z225" s="187" t="str">
        <f ca="1">Sprache!$A$79</f>
        <v>Створка</v>
      </c>
      <c r="AA225" s="187">
        <v>600</v>
      </c>
      <c r="AB225" s="124">
        <v>600</v>
      </c>
      <c r="AC225" s="187">
        <v>19</v>
      </c>
      <c r="AD225" s="195">
        <v>2.1</v>
      </c>
      <c r="AE225" s="196">
        <v>2.5</v>
      </c>
      <c r="AF225" s="263" t="str">
        <f>MID(Tabelle2[[#This Row],[bnr full]],1,4)</f>
        <v>F151</v>
      </c>
      <c r="AG225" s="264" t="str">
        <f>MID(Tabelle2[[#This Row],[bnr full]],5,3)</f>
        <v>145</v>
      </c>
      <c r="AH225" s="265" t="str">
        <f>MID(Tabelle2[[#This Row],[bnr full]],8,3)</f>
        <v>222</v>
      </c>
      <c r="AI225" s="264" t="str">
        <f>MID(Tabelle2[[#This Row],[bnr full]],11,3)</f>
        <v>201</v>
      </c>
      <c r="AJ225" s="252" t="str">
        <f>MID(Tabelle2[[#This Row],[bnr full]],11,3)</f>
        <v>201</v>
      </c>
      <c r="AK225" s="197" t="s">
        <v>790</v>
      </c>
      <c r="AL225" s="124" t="str">
        <f ca="1">Sprache!$A$111</f>
        <v>Комплект (Л + П)</v>
      </c>
      <c r="AM225" s="187" t="s">
        <v>25</v>
      </c>
      <c r="AN225" s="187" t="str">
        <f ca="1">Sprache!$A$132</f>
        <v>регулируется</v>
      </c>
      <c r="AO225" s="187" t="s">
        <v>25</v>
      </c>
      <c r="AP225" s="187" t="s">
        <v>25</v>
      </c>
      <c r="AQ225" s="187">
        <f>Limits!$K$9</f>
        <v>200</v>
      </c>
      <c r="AR225" s="124">
        <v>1200</v>
      </c>
      <c r="AS225" s="187"/>
      <c r="AT225" s="124"/>
      <c r="AU225"/>
      <c r="AV225"/>
      <c r="AY225"/>
      <c r="AZ225"/>
      <c r="BA225"/>
      <c r="BB225"/>
      <c r="BC225"/>
    </row>
    <row r="226" spans="1:55" hidden="1" x14ac:dyDescent="0.25">
      <c r="A226" s="12" t="str">
        <f ca="1">IF(F226+G226+H226+I226+J226+D226+E226=3,IF(Tabelle2[[#This Row],[Kappe Weiß]]=Limits!$R$29,1,""),"")</f>
        <v/>
      </c>
      <c r="B226" s="12" t="str">
        <f ca="1">IF(G226+H226+I226+J226+E226+F226=2,IF(Tabelle2[[#This Row],[Kappe Weiß]]=Limits!$R$29,1,""),"")</f>
        <v/>
      </c>
      <c r="C226" s="291">
        <v>0</v>
      </c>
      <c r="D226" s="207">
        <f>IF(Limits!$P$11=TRUE,1,0)</f>
        <v>0</v>
      </c>
      <c r="E226" s="172">
        <f>IF(Daten!$P226+Daten!$Q226+Daten!$S226=3,1,0)</f>
        <v>0</v>
      </c>
      <c r="F226" s="173">
        <f ca="1">IF(AND(Limits!$Q$21=TRUE,Daten!O226=1)=TRUE,1,0)</f>
        <v>0</v>
      </c>
      <c r="G226" s="174">
        <f>IF(AND(Limits!$Q$25=TRUE,Daten!N226=1)=TRUE,1,0)</f>
        <v>0</v>
      </c>
      <c r="H226" s="174">
        <f>IF(AND(Limits!$Q$24=TRUE,Daten!M226=1)=TRUE,1,0)</f>
        <v>0</v>
      </c>
      <c r="I226" s="174">
        <f>IF(AND(Limits!$Q$23=TRUE,Daten!L226=1)=TRUE,1,0)</f>
        <v>0</v>
      </c>
      <c r="J226" s="174">
        <f>IF(AND(Limits!$Q$22=TRUE,Daten!K226=1)=TRUE,1,0)</f>
        <v>0</v>
      </c>
      <c r="K226" s="188">
        <f>IF(Daten!$V226=13,1,0)</f>
        <v>0</v>
      </c>
      <c r="L226" s="189">
        <f>IF(Daten!$V226&lt;&gt;Daten!$W226,1,IF(Daten!$V226=14,1,0))</f>
        <v>0</v>
      </c>
      <c r="M226" s="189">
        <f>IF(Daten!$V226&lt;&gt;Daten!$W226,1,IF(Daten!$V226=16,1,0))</f>
        <v>1</v>
      </c>
      <c r="N226" s="189">
        <f>IF(Daten!$W226=17,1,0)</f>
        <v>0</v>
      </c>
      <c r="O226" s="190">
        <f ca="1">IF(Daten!$X226=Sprache!$A$70,1,0)</f>
        <v>0</v>
      </c>
      <c r="P226" s="191">
        <f>IF(AND(Daten!$AQ226&lt;=KINVARO!$AW$3,Daten!$AR226&gt;=KINVARO!$AW$3)=TRUE,1,0)</f>
        <v>1</v>
      </c>
      <c r="Q226" s="192">
        <f>IF(AND(Daten!$AA226&lt;=KINVARO!$AW$4,Daten!$AB226&gt;=KINVARO!$AW$4)=TRUE,1,0)</f>
        <v>0</v>
      </c>
      <c r="R226" s="192"/>
      <c r="S226" s="192">
        <f>IF(AND(Daten!$AD226&lt;=Limits!$I$70,Daten!$AE226&gt;=Limits!$I$70)=TRUE,1,0)</f>
        <v>0</v>
      </c>
      <c r="T226" s="193">
        <f ca="1">IF(Daten!$Y226=Sprache!$A$135,1,0)</f>
        <v>0</v>
      </c>
      <c r="U226" s="124" t="str">
        <f ca="1">Sprache!$A$63</f>
        <v>T-57 Поворотный подъемник</v>
      </c>
      <c r="V226" s="194">
        <v>16</v>
      </c>
      <c r="W226" s="193">
        <v>16</v>
      </c>
      <c r="X226" s="187" t="str">
        <f ca="1">Sprache!$A$141</f>
        <v>Alu</v>
      </c>
      <c r="Y226" s="187" t="str">
        <f ca="1">Sprache!$A$136</f>
        <v>nein</v>
      </c>
      <c r="Z226" s="187" t="str">
        <f ca="1">Sprache!$A$79</f>
        <v>Створка</v>
      </c>
      <c r="AA226" s="187">
        <v>600</v>
      </c>
      <c r="AB226" s="124">
        <v>600</v>
      </c>
      <c r="AC226" s="187">
        <v>19</v>
      </c>
      <c r="AD226" s="195">
        <v>2.1</v>
      </c>
      <c r="AE226" s="196">
        <v>2.5</v>
      </c>
      <c r="AF226" s="263" t="str">
        <f>MID(Tabelle2[[#This Row],[bnr full]],1,4)</f>
        <v>F151</v>
      </c>
      <c r="AG226" s="264" t="str">
        <f>MID(Tabelle2[[#This Row],[bnr full]],5,3)</f>
        <v>145</v>
      </c>
      <c r="AH226" s="265" t="str">
        <f>MID(Tabelle2[[#This Row],[bnr full]],8,3)</f>
        <v>223</v>
      </c>
      <c r="AI226" s="264" t="str">
        <f>MID(Tabelle2[[#This Row],[bnr full]],11,3)</f>
        <v>201</v>
      </c>
      <c r="AJ226" s="252" t="str">
        <f>MID(Tabelle2[[#This Row],[bnr full]],11,3)</f>
        <v>201</v>
      </c>
      <c r="AK226" s="197" t="s">
        <v>791</v>
      </c>
      <c r="AL226" s="124" t="str">
        <f ca="1">Sprache!$A$111</f>
        <v>Комплект (Л + П)</v>
      </c>
      <c r="AM226" s="187" t="s">
        <v>25</v>
      </c>
      <c r="AN226" s="187" t="str">
        <f ca="1">Sprache!$A$132</f>
        <v>регулируется</v>
      </c>
      <c r="AO226" s="187" t="s">
        <v>25</v>
      </c>
      <c r="AP226" s="187" t="s">
        <v>25</v>
      </c>
      <c r="AQ226" s="187">
        <f>Limits!$K$9</f>
        <v>200</v>
      </c>
      <c r="AR226" s="124">
        <v>1200</v>
      </c>
      <c r="AS226" s="187"/>
      <c r="AT226" s="124"/>
      <c r="AU226"/>
      <c r="AV226"/>
      <c r="AY226"/>
      <c r="AZ226"/>
      <c r="BA226"/>
      <c r="BB226"/>
      <c r="BC226"/>
    </row>
    <row r="227" spans="1:55" s="5" customFormat="1" ht="15.75" hidden="1" thickTop="1" x14ac:dyDescent="0.25">
      <c r="A227" s="12" t="str">
        <f ca="1">IF(F227+G227+H227+I227+J227+D227+E227=3,IF(Tabelle2[[#This Row],[Kappe Weiß]]=Limits!$R$29,1,""),"")</f>
        <v/>
      </c>
      <c r="B227" s="12" t="str">
        <f ca="1">IF(G227+H227+I227+J227+E227+F227=2,IF(Tabelle2[[#This Row],[Kappe Weiß]]=Limits!$R$29,1,""),"")</f>
        <v/>
      </c>
      <c r="C227" s="293">
        <v>1</v>
      </c>
      <c r="D227" s="171">
        <f>IF(Limits!$P$11=TRUE,1,0)</f>
        <v>0</v>
      </c>
      <c r="E227" s="172">
        <f>IF(Daten!$P227+Daten!$Q227+Daten!$S227=3,1,0)</f>
        <v>0</v>
      </c>
      <c r="F227" s="173">
        <f ca="1">IF(AND(Limits!$Q$21=TRUE,Daten!O227=1)=TRUE,1,0)</f>
        <v>1</v>
      </c>
      <c r="G227" s="174">
        <f ca="1">IF(AND(Limits!$Q$25=TRUE,Daten!N227=1)=TRUE,1,0)</f>
        <v>0</v>
      </c>
      <c r="H227" s="174">
        <f ca="1">IF(AND(Limits!$Q$24=TRUE,Daten!M227=1)=TRUE,1,0)</f>
        <v>0</v>
      </c>
      <c r="I227" s="174">
        <f ca="1">IF(AND(Limits!$Q$23=TRUE,Daten!L227=1)=TRUE,1,0)</f>
        <v>0</v>
      </c>
      <c r="J227" s="174">
        <f ca="1">IF(AND(Limits!$Q$22=TRUE,Daten!K227=1)=TRUE,1,0)</f>
        <v>0</v>
      </c>
      <c r="K227" s="188">
        <f ca="1">IF(Daten!$V227=13,1,0)</f>
        <v>0</v>
      </c>
      <c r="L227" s="189">
        <f ca="1">IF(Daten!$V227&lt;&gt;Daten!$W227,1,IF(Daten!$V227=14,1,0))</f>
        <v>0</v>
      </c>
      <c r="M227" s="189">
        <f ca="1">IF(Daten!$V227&lt;&gt;Daten!$W227,1,IF(Daten!$V227=16,1,0))</f>
        <v>0</v>
      </c>
      <c r="N227" s="189">
        <f ca="1">IF(Daten!$W227=17,1,0)</f>
        <v>0</v>
      </c>
      <c r="O227" s="190">
        <f ca="1">IF(Daten!$X227=Sprache!$A$70,1,0)</f>
        <v>1</v>
      </c>
      <c r="P227" s="208">
        <f>IF(AND(Daten!$AQ227&lt;=KINVARO!$AW$3,Daten!$AR227&gt;=KINVARO!$AW$3)=TRUE,1,0)</f>
        <v>1</v>
      </c>
      <c r="Q227" s="209">
        <f>IF(AND(Daten!$AA227&lt;=KINVARO!$AW$4,Daten!$AB227&gt;=KINVARO!$AW$4)=TRUE,1,0)</f>
        <v>0</v>
      </c>
      <c r="R227" s="209"/>
      <c r="S227" s="209">
        <f>IF(AND(Daten!$AD227&lt;=Limits!$I$70,Daten!$AE227&gt;=Limits!$I$70)=TRUE,1,0)</f>
        <v>0</v>
      </c>
      <c r="T227" s="210">
        <f ca="1">IF(Daten!$Y227=Sprache!$A$135,1,0)</f>
        <v>0</v>
      </c>
      <c r="U227" s="211" t="str">
        <f ca="1">Sprache!$A$63</f>
        <v>T-57 Поворотный подъемник</v>
      </c>
      <c r="V227" s="212" t="str">
        <f ca="1">Sprache!$A$74</f>
        <v>var</v>
      </c>
      <c r="W227" s="210" t="str">
        <f ca="1">Sprache!$A$74</f>
        <v>var</v>
      </c>
      <c r="X227" s="213" t="str">
        <f ca="1">Sprache!$A$70</f>
        <v>соединение с древесиной</v>
      </c>
      <c r="Y227" s="187" t="str">
        <f ca="1">Sprache!$A$136</f>
        <v>nein</v>
      </c>
      <c r="Z227" s="213" t="str">
        <f ca="1">Sprache!$A$79</f>
        <v>Створка</v>
      </c>
      <c r="AA227" s="213">
        <v>300</v>
      </c>
      <c r="AB227" s="211">
        <v>349</v>
      </c>
      <c r="AC227" s="213">
        <v>19</v>
      </c>
      <c r="AD227" s="214">
        <v>1</v>
      </c>
      <c r="AE227" s="215">
        <v>6.2</v>
      </c>
      <c r="AF227" s="269" t="str">
        <f>MID(Tabelle2[[#This Row],[bnr full]],1,4)</f>
        <v>F151</v>
      </c>
      <c r="AG227" s="270" t="str">
        <f>MID(Tabelle2[[#This Row],[bnr full]],5,3)</f>
        <v>145</v>
      </c>
      <c r="AH227" s="271" t="str">
        <f>MID(Tabelle2[[#This Row],[bnr full]],8,3)</f>
        <v>224</v>
      </c>
      <c r="AI227" s="270" t="str">
        <f>MID(Tabelle2[[#This Row],[bnr full]],11,3)</f>
        <v>201</v>
      </c>
      <c r="AJ227" s="254" t="str">
        <f>MID(Tabelle2[[#This Row],[bnr full]],11,3)</f>
        <v>201</v>
      </c>
      <c r="AK227" s="216" t="s">
        <v>789</v>
      </c>
      <c r="AL227" s="211" t="str">
        <f ca="1">Sprache!$A$111</f>
        <v>Комплект (Л + П)</v>
      </c>
      <c r="AM227" s="213" t="s">
        <v>25</v>
      </c>
      <c r="AN227" s="213" t="str">
        <f ca="1">Sprache!$A$132</f>
        <v>регулируется</v>
      </c>
      <c r="AO227" s="213" t="s">
        <v>25</v>
      </c>
      <c r="AP227" s="213" t="s">
        <v>25</v>
      </c>
      <c r="AQ227" s="213">
        <f>Limits!$K$9</f>
        <v>200</v>
      </c>
      <c r="AR227" s="211">
        <v>1200</v>
      </c>
      <c r="AS227" s="187"/>
      <c r="AT227" s="124"/>
    </row>
    <row r="228" spans="1:55" hidden="1" x14ac:dyDescent="0.25">
      <c r="A228" s="12" t="str">
        <f ca="1">IF(F228+G228+H228+I228+J228+D228+E228=3,IF(Tabelle2[[#This Row],[Kappe Weiß]]=Limits!$R$29,1,""),"")</f>
        <v/>
      </c>
      <c r="B228" s="12" t="str">
        <f ca="1">IF(G228+H228+I228+J228+E228+F228=2,IF(Tabelle2[[#This Row],[Kappe Weiß]]=Limits!$R$29,1,""),"")</f>
        <v/>
      </c>
      <c r="C228" s="291">
        <v>1</v>
      </c>
      <c r="D228" s="171">
        <f>IF(Limits!$P$11=TRUE,1,0)</f>
        <v>0</v>
      </c>
      <c r="E228" s="172">
        <f>IF(Daten!$P228+Daten!$Q228+Daten!$S228=3,1,0)</f>
        <v>0</v>
      </c>
      <c r="F228" s="173">
        <f ca="1">IF(AND(Limits!$Q$21=TRUE,Daten!O228=1)=TRUE,1,0)</f>
        <v>0</v>
      </c>
      <c r="G228" s="174">
        <f>IF(AND(Limits!$Q$25=TRUE,Daten!N228=1)=TRUE,1,0)</f>
        <v>0</v>
      </c>
      <c r="H228" s="174">
        <f>IF(AND(Limits!$Q$24=TRUE,Daten!M228=1)=TRUE,1,0)</f>
        <v>0</v>
      </c>
      <c r="I228" s="174">
        <f>IF(AND(Limits!$Q$23=TRUE,Daten!L228=1)=TRUE,1,0)</f>
        <v>0</v>
      </c>
      <c r="J228" s="174">
        <f>IF(AND(Limits!$Q$22=TRUE,Daten!K228=1)=TRUE,1,0)</f>
        <v>0</v>
      </c>
      <c r="K228" s="188">
        <f>IF(Daten!$V228=13,1,0)</f>
        <v>0</v>
      </c>
      <c r="L228" s="189">
        <f>IF(Daten!$V228&lt;&gt;Daten!$W228,1,IF(Daten!$V228=14,1,0))</f>
        <v>1</v>
      </c>
      <c r="M228" s="189">
        <f>IF(Daten!$V228&lt;&gt;Daten!$W228,1,IF(Daten!$V228=16,1,0))</f>
        <v>0</v>
      </c>
      <c r="N228" s="189">
        <f>IF(Daten!$W228=17,1,0)</f>
        <v>0</v>
      </c>
      <c r="O228" s="190">
        <f ca="1">IF(Daten!$X228=Sprache!$A$70,1,0)</f>
        <v>0</v>
      </c>
      <c r="P228" s="191">
        <f>IF(AND(Daten!$AQ228&lt;=KINVARO!$AW$3,Daten!$AR228&gt;=KINVARO!$AW$3)=TRUE,1,0)</f>
        <v>1</v>
      </c>
      <c r="Q228" s="192">
        <f>IF(AND(Daten!$AA228&lt;=KINVARO!$AW$4,Daten!$AB228&gt;=KINVARO!$AW$4)=TRUE,1,0)</f>
        <v>0</v>
      </c>
      <c r="R228" s="192"/>
      <c r="S228" s="192">
        <f>IF(AND(Daten!$AD228&lt;=Limits!$I$70,Daten!$AE228&gt;=Limits!$I$70)=TRUE,1,0)</f>
        <v>0</v>
      </c>
      <c r="T228" s="193">
        <f ca="1">IF(Daten!$Y228=Sprache!$A$135,1,0)</f>
        <v>0</v>
      </c>
      <c r="U228" s="124" t="str">
        <f ca="1">Sprache!$A$63</f>
        <v>T-57 Поворотный подъемник</v>
      </c>
      <c r="V228" s="194">
        <v>14</v>
      </c>
      <c r="W228" s="193">
        <v>14</v>
      </c>
      <c r="X228" s="187" t="str">
        <f ca="1">Sprache!$A$141</f>
        <v>Alu</v>
      </c>
      <c r="Y228" s="187" t="str">
        <f ca="1">Sprache!$A$136</f>
        <v>nein</v>
      </c>
      <c r="Z228" s="187" t="str">
        <f ca="1">Sprache!$A$79</f>
        <v>Створка</v>
      </c>
      <c r="AA228" s="187">
        <v>300</v>
      </c>
      <c r="AB228" s="124">
        <v>349</v>
      </c>
      <c r="AC228" s="187">
        <v>19</v>
      </c>
      <c r="AD228" s="195">
        <v>1</v>
      </c>
      <c r="AE228" s="196">
        <v>6.2</v>
      </c>
      <c r="AF228" s="263" t="str">
        <f>MID(Tabelle2[[#This Row],[bnr full]],1,4)</f>
        <v>F151</v>
      </c>
      <c r="AG228" s="264" t="str">
        <f>MID(Tabelle2[[#This Row],[bnr full]],5,3)</f>
        <v>145</v>
      </c>
      <c r="AH228" s="265" t="str">
        <f>MID(Tabelle2[[#This Row],[bnr full]],8,3)</f>
        <v>222</v>
      </c>
      <c r="AI228" s="264" t="str">
        <f>MID(Tabelle2[[#This Row],[bnr full]],11,3)</f>
        <v>201</v>
      </c>
      <c r="AJ228" s="252" t="str">
        <f>MID(Tabelle2[[#This Row],[bnr full]],11,3)</f>
        <v>201</v>
      </c>
      <c r="AK228" s="197" t="s">
        <v>790</v>
      </c>
      <c r="AL228" s="124" t="str">
        <f ca="1">Sprache!$A$111</f>
        <v>Комплект (Л + П)</v>
      </c>
      <c r="AM228" s="187" t="s">
        <v>25</v>
      </c>
      <c r="AN228" s="187" t="str">
        <f ca="1">Sprache!$A$132</f>
        <v>регулируется</v>
      </c>
      <c r="AO228" s="187" t="s">
        <v>25</v>
      </c>
      <c r="AP228" s="187" t="s">
        <v>25</v>
      </c>
      <c r="AQ228" s="187">
        <f>Limits!$K$9</f>
        <v>200</v>
      </c>
      <c r="AR228" s="124">
        <v>1200</v>
      </c>
      <c r="AS228" s="187"/>
      <c r="AT228" s="124"/>
      <c r="AU228"/>
      <c r="AV228"/>
      <c r="AY228"/>
      <c r="AZ228"/>
      <c r="BA228"/>
      <c r="BB228"/>
      <c r="BC228"/>
    </row>
    <row r="229" spans="1:55" hidden="1" x14ac:dyDescent="0.25">
      <c r="A229" s="12" t="str">
        <f ca="1">IF(F229+G229+H229+I229+J229+D229+E229=3,IF(Tabelle2[[#This Row],[Kappe Weiß]]=Limits!$R$29,1,""),"")</f>
        <v/>
      </c>
      <c r="B229" s="12" t="str">
        <f ca="1">IF(G229+H229+I229+J229+E229+F229=2,IF(Tabelle2[[#This Row],[Kappe Weiß]]=Limits!$R$29,1,""),"")</f>
        <v/>
      </c>
      <c r="C229" s="291">
        <v>1</v>
      </c>
      <c r="D229" s="171">
        <f>IF(Limits!$P$11=TRUE,1,0)</f>
        <v>0</v>
      </c>
      <c r="E229" s="172">
        <f>IF(Daten!$P229+Daten!$Q229+Daten!$S229=3,1,0)</f>
        <v>0</v>
      </c>
      <c r="F229" s="173">
        <f ca="1">IF(AND(Limits!$Q$21=TRUE,Daten!O229=1)=TRUE,1,0)</f>
        <v>0</v>
      </c>
      <c r="G229" s="174">
        <f>IF(AND(Limits!$Q$25=TRUE,Daten!N229=1)=TRUE,1,0)</f>
        <v>0</v>
      </c>
      <c r="H229" s="174">
        <f>IF(AND(Limits!$Q$24=TRUE,Daten!M229=1)=TRUE,1,0)</f>
        <v>0</v>
      </c>
      <c r="I229" s="174">
        <f>IF(AND(Limits!$Q$23=TRUE,Daten!L229=1)=TRUE,1,0)</f>
        <v>0</v>
      </c>
      <c r="J229" s="174">
        <f>IF(AND(Limits!$Q$22=TRUE,Daten!K229=1)=TRUE,1,0)</f>
        <v>0</v>
      </c>
      <c r="K229" s="188">
        <f>IF(Daten!$V229=13,1,0)</f>
        <v>0</v>
      </c>
      <c r="L229" s="189">
        <f>IF(Daten!$V229&lt;&gt;Daten!$W229,1,IF(Daten!$V229=14,1,0))</f>
        <v>0</v>
      </c>
      <c r="M229" s="189">
        <f>IF(Daten!$V229&lt;&gt;Daten!$W229,1,IF(Daten!$V229=16,1,0))</f>
        <v>1</v>
      </c>
      <c r="N229" s="189">
        <f>IF(Daten!$W229=17,1,0)</f>
        <v>0</v>
      </c>
      <c r="O229" s="190">
        <f ca="1">IF(Daten!$X229=Sprache!$A$70,1,0)</f>
        <v>0</v>
      </c>
      <c r="P229" s="191">
        <f>IF(AND(Daten!$AQ229&lt;=KINVARO!$AW$3,Daten!$AR229&gt;=KINVARO!$AW$3)=TRUE,1,0)</f>
        <v>1</v>
      </c>
      <c r="Q229" s="192">
        <f>IF(AND(Daten!$AA229&lt;=KINVARO!$AW$4,Daten!$AB229&gt;=KINVARO!$AW$4)=TRUE,1,0)</f>
        <v>0</v>
      </c>
      <c r="R229" s="192"/>
      <c r="S229" s="192">
        <f>IF(AND(Daten!$AD229&lt;=Limits!$I$70,Daten!$AE229&gt;=Limits!$I$70)=TRUE,1,0)</f>
        <v>0</v>
      </c>
      <c r="T229" s="193">
        <f ca="1">IF(Daten!$Y229=Sprache!$A$135,1,0)</f>
        <v>0</v>
      </c>
      <c r="U229" s="124" t="str">
        <f ca="1">Sprache!$A$63</f>
        <v>T-57 Поворотный подъемник</v>
      </c>
      <c r="V229" s="194">
        <v>16</v>
      </c>
      <c r="W229" s="193">
        <v>16</v>
      </c>
      <c r="X229" s="187" t="str">
        <f ca="1">Sprache!$A$141</f>
        <v>Alu</v>
      </c>
      <c r="Y229" s="187" t="str">
        <f ca="1">Sprache!$A$136</f>
        <v>nein</v>
      </c>
      <c r="Z229" s="187" t="str">
        <f ca="1">Sprache!$A$79</f>
        <v>Створка</v>
      </c>
      <c r="AA229" s="187">
        <v>300</v>
      </c>
      <c r="AB229" s="124">
        <v>349</v>
      </c>
      <c r="AC229" s="187">
        <v>19</v>
      </c>
      <c r="AD229" s="195">
        <v>1</v>
      </c>
      <c r="AE229" s="196">
        <v>6.2</v>
      </c>
      <c r="AF229" s="263" t="str">
        <f>MID(Tabelle2[[#This Row],[bnr full]],1,4)</f>
        <v>F151</v>
      </c>
      <c r="AG229" s="264" t="str">
        <f>MID(Tabelle2[[#This Row],[bnr full]],5,3)</f>
        <v>145</v>
      </c>
      <c r="AH229" s="265" t="str">
        <f>MID(Tabelle2[[#This Row],[bnr full]],8,3)</f>
        <v>223</v>
      </c>
      <c r="AI229" s="264" t="str">
        <f>MID(Tabelle2[[#This Row],[bnr full]],11,3)</f>
        <v>201</v>
      </c>
      <c r="AJ229" s="252" t="str">
        <f>MID(Tabelle2[[#This Row],[bnr full]],11,3)</f>
        <v>201</v>
      </c>
      <c r="AK229" s="197" t="s">
        <v>791</v>
      </c>
      <c r="AL229" s="124" t="str">
        <f ca="1">Sprache!$A$111</f>
        <v>Комплект (Л + П)</v>
      </c>
      <c r="AM229" s="187" t="s">
        <v>25</v>
      </c>
      <c r="AN229" s="187" t="str">
        <f ca="1">Sprache!$A$132</f>
        <v>регулируется</v>
      </c>
      <c r="AO229" s="187" t="s">
        <v>25</v>
      </c>
      <c r="AP229" s="187" t="s">
        <v>25</v>
      </c>
      <c r="AQ229" s="187">
        <f>Limits!$K$9</f>
        <v>200</v>
      </c>
      <c r="AR229" s="124">
        <v>1200</v>
      </c>
      <c r="AS229" s="187"/>
      <c r="AT229" s="124"/>
      <c r="AU229"/>
      <c r="AV229"/>
      <c r="AY229"/>
      <c r="AZ229"/>
      <c r="BA229"/>
      <c r="BB229"/>
      <c r="BC229"/>
    </row>
    <row r="230" spans="1:55" hidden="1" x14ac:dyDescent="0.25">
      <c r="A230" s="12" t="str">
        <f ca="1">IF(F230+G230+H230+I230+J230+D230+E230=3,IF(Tabelle2[[#This Row],[Kappe Weiß]]=Limits!$R$29,1,""),"")</f>
        <v/>
      </c>
      <c r="B230" s="12" t="str">
        <f ca="1">IF(G230+H230+I230+J230+E230+F230=2,IF(Tabelle2[[#This Row],[Kappe Weiß]]=Limits!$R$29,1,""),"")</f>
        <v/>
      </c>
      <c r="C230" s="292">
        <v>1</v>
      </c>
      <c r="D230" s="171">
        <f>IF(Limits!$P$11=TRUE,1,0)</f>
        <v>0</v>
      </c>
      <c r="E230" s="172">
        <f>IF(Daten!$P230+Daten!$Q230+Daten!$S230=3,1,0)</f>
        <v>0</v>
      </c>
      <c r="F230" s="173">
        <f ca="1">IF(AND(Limits!$Q$21=TRUE,Daten!O230=1)=TRUE,1,0)</f>
        <v>1</v>
      </c>
      <c r="G230" s="174">
        <f ca="1">IF(AND(Limits!$Q$25=TRUE,Daten!N230=1)=TRUE,1,0)</f>
        <v>0</v>
      </c>
      <c r="H230" s="174">
        <f ca="1">IF(AND(Limits!$Q$24=TRUE,Daten!M230=1)=TRUE,1,0)</f>
        <v>0</v>
      </c>
      <c r="I230" s="174">
        <f ca="1">IF(AND(Limits!$Q$23=TRUE,Daten!L230=1)=TRUE,1,0)</f>
        <v>0</v>
      </c>
      <c r="J230" s="174">
        <f ca="1">IF(AND(Limits!$Q$22=TRUE,Daten!K230=1)=TRUE,1,0)</f>
        <v>0</v>
      </c>
      <c r="K230" s="188">
        <f ca="1">IF(Daten!$V230=13,1,0)</f>
        <v>0</v>
      </c>
      <c r="L230" s="189">
        <f ca="1">IF(Daten!$V230&lt;&gt;Daten!$W230,1,IF(Daten!$V230=14,1,0))</f>
        <v>0</v>
      </c>
      <c r="M230" s="189">
        <f ca="1">IF(Daten!$V230&lt;&gt;Daten!$W230,1,IF(Daten!$V230=16,1,0))</f>
        <v>0</v>
      </c>
      <c r="N230" s="189">
        <f ca="1">IF(Daten!$W230=17,1,0)</f>
        <v>0</v>
      </c>
      <c r="O230" s="190">
        <f ca="1">IF(Daten!$X230=Sprache!$A$70,1,0)</f>
        <v>1</v>
      </c>
      <c r="P230" s="198">
        <f>IF(AND(Daten!$AQ230&lt;=KINVARO!$AW$3,Daten!$AR230&gt;=KINVARO!$AW$3)=TRUE,1,0)</f>
        <v>1</v>
      </c>
      <c r="Q230" s="199">
        <f>IF(AND(Daten!$AA230&lt;=KINVARO!$AW$4,Daten!$AB230&gt;=KINVARO!$AW$4)=TRUE,1,0)</f>
        <v>0</v>
      </c>
      <c r="R230" s="199"/>
      <c r="S230" s="199">
        <f>IF(AND(Daten!$AD230&lt;=Limits!$I$70,Daten!$AE230&gt;=Limits!$I$70)=TRUE,1,0)</f>
        <v>0</v>
      </c>
      <c r="T230" s="200">
        <f ca="1">IF(Daten!$Y230=Sprache!$A$135,1,0)</f>
        <v>0</v>
      </c>
      <c r="U230" s="201" t="str">
        <f ca="1">Sprache!$A$63</f>
        <v>T-57 Поворотный подъемник</v>
      </c>
      <c r="V230" s="202" t="str">
        <f ca="1">Sprache!$A$74</f>
        <v>var</v>
      </c>
      <c r="W230" s="200" t="str">
        <f ca="1">Sprache!$A$74</f>
        <v>var</v>
      </c>
      <c r="X230" s="203" t="str">
        <f ca="1">Sprache!$A$70</f>
        <v>соединение с древесиной</v>
      </c>
      <c r="Y230" s="187" t="str">
        <f ca="1">Sprache!$A$136</f>
        <v>nein</v>
      </c>
      <c r="Z230" s="203" t="str">
        <f ca="1">Sprache!$A$79</f>
        <v>Створка</v>
      </c>
      <c r="AA230" s="203">
        <v>350</v>
      </c>
      <c r="AB230" s="201">
        <v>399</v>
      </c>
      <c r="AC230" s="203">
        <v>19</v>
      </c>
      <c r="AD230" s="204">
        <v>1.2</v>
      </c>
      <c r="AE230" s="205">
        <v>4.9000000000000004</v>
      </c>
      <c r="AF230" s="266" t="str">
        <f>MID(Tabelle2[[#This Row],[bnr full]],1,4)</f>
        <v>F151</v>
      </c>
      <c r="AG230" s="267" t="str">
        <f>MID(Tabelle2[[#This Row],[bnr full]],5,3)</f>
        <v>145</v>
      </c>
      <c r="AH230" s="268" t="str">
        <f>MID(Tabelle2[[#This Row],[bnr full]],8,3)</f>
        <v>224</v>
      </c>
      <c r="AI230" s="267" t="str">
        <f>MID(Tabelle2[[#This Row],[bnr full]],11,3)</f>
        <v>201</v>
      </c>
      <c r="AJ230" s="253" t="str">
        <f>MID(Tabelle2[[#This Row],[bnr full]],11,3)</f>
        <v>201</v>
      </c>
      <c r="AK230" s="206" t="s">
        <v>789</v>
      </c>
      <c r="AL230" s="201" t="str">
        <f ca="1">Sprache!$A$111</f>
        <v>Комплект (Л + П)</v>
      </c>
      <c r="AM230" s="203" t="s">
        <v>25</v>
      </c>
      <c r="AN230" s="203" t="str">
        <f ca="1">Sprache!$A$132</f>
        <v>регулируется</v>
      </c>
      <c r="AO230" s="203" t="s">
        <v>25</v>
      </c>
      <c r="AP230" s="203" t="s">
        <v>25</v>
      </c>
      <c r="AQ230" s="203">
        <f>Limits!$K$9</f>
        <v>200</v>
      </c>
      <c r="AR230" s="201">
        <v>1200</v>
      </c>
      <c r="AS230" s="187"/>
      <c r="AT230" s="124"/>
      <c r="AU230"/>
      <c r="AV230"/>
      <c r="AY230"/>
      <c r="AZ230"/>
      <c r="BA230"/>
      <c r="BB230"/>
      <c r="BC230"/>
    </row>
    <row r="231" spans="1:55" hidden="1" x14ac:dyDescent="0.25">
      <c r="A231" s="12" t="str">
        <f ca="1">IF(F231+G231+H231+I231+J231+D231+E231=3,IF(Tabelle2[[#This Row],[Kappe Weiß]]=Limits!$R$29,1,""),"")</f>
        <v/>
      </c>
      <c r="B231" s="12" t="str">
        <f ca="1">IF(G231+H231+I231+J231+E231+F231=2,IF(Tabelle2[[#This Row],[Kappe Weiß]]=Limits!$R$29,1,""),"")</f>
        <v/>
      </c>
      <c r="C231" s="291">
        <v>1</v>
      </c>
      <c r="D231" s="171">
        <f>IF(Limits!$P$11=TRUE,1,0)</f>
        <v>0</v>
      </c>
      <c r="E231" s="172">
        <f>IF(Daten!$P231+Daten!$Q231+Daten!$S231=3,1,0)</f>
        <v>0</v>
      </c>
      <c r="F231" s="173">
        <f ca="1">IF(AND(Limits!$Q$21=TRUE,Daten!O231=1)=TRUE,1,0)</f>
        <v>0</v>
      </c>
      <c r="G231" s="174">
        <f>IF(AND(Limits!$Q$25=TRUE,Daten!N231=1)=TRUE,1,0)</f>
        <v>0</v>
      </c>
      <c r="H231" s="174">
        <f>IF(AND(Limits!$Q$24=TRUE,Daten!M231=1)=TRUE,1,0)</f>
        <v>0</v>
      </c>
      <c r="I231" s="174">
        <f>IF(AND(Limits!$Q$23=TRUE,Daten!L231=1)=TRUE,1,0)</f>
        <v>0</v>
      </c>
      <c r="J231" s="174">
        <f>IF(AND(Limits!$Q$22=TRUE,Daten!K231=1)=TRUE,1,0)</f>
        <v>0</v>
      </c>
      <c r="K231" s="188">
        <f>IF(Daten!$V231=13,1,0)</f>
        <v>0</v>
      </c>
      <c r="L231" s="189">
        <f>IF(Daten!$V231&lt;&gt;Daten!$W231,1,IF(Daten!$V231=14,1,0))</f>
        <v>1</v>
      </c>
      <c r="M231" s="189">
        <f>IF(Daten!$V231&lt;&gt;Daten!$W231,1,IF(Daten!$V231=16,1,0))</f>
        <v>0</v>
      </c>
      <c r="N231" s="189">
        <f>IF(Daten!$W231=17,1,0)</f>
        <v>0</v>
      </c>
      <c r="O231" s="190">
        <f ca="1">IF(Daten!$X231=Sprache!$A$70,1,0)</f>
        <v>0</v>
      </c>
      <c r="P231" s="191">
        <f>IF(AND(Daten!$AQ231&lt;=KINVARO!$AW$3,Daten!$AR231&gt;=KINVARO!$AW$3)=TRUE,1,0)</f>
        <v>1</v>
      </c>
      <c r="Q231" s="192">
        <f>IF(AND(Daten!$AA231&lt;=KINVARO!$AW$4,Daten!$AB231&gt;=KINVARO!$AW$4)=TRUE,1,0)</f>
        <v>0</v>
      </c>
      <c r="R231" s="192"/>
      <c r="S231" s="192">
        <f>IF(AND(Daten!$AD231&lt;=Limits!$I$70,Daten!$AE231&gt;=Limits!$I$70)=TRUE,1,0)</f>
        <v>0</v>
      </c>
      <c r="T231" s="193">
        <f ca="1">IF(Daten!$Y231=Sprache!$A$135,1,0)</f>
        <v>0</v>
      </c>
      <c r="U231" s="124" t="str">
        <f ca="1">Sprache!$A$63</f>
        <v>T-57 Поворотный подъемник</v>
      </c>
      <c r="V231" s="194">
        <v>14</v>
      </c>
      <c r="W231" s="193">
        <v>14</v>
      </c>
      <c r="X231" s="187" t="str">
        <f ca="1">Sprache!$A$141</f>
        <v>Alu</v>
      </c>
      <c r="Y231" s="187" t="str">
        <f ca="1">Sprache!$A$136</f>
        <v>nein</v>
      </c>
      <c r="Z231" s="187" t="str">
        <f ca="1">Sprache!$A$79</f>
        <v>Створка</v>
      </c>
      <c r="AA231" s="187">
        <v>350</v>
      </c>
      <c r="AB231" s="124">
        <v>399</v>
      </c>
      <c r="AC231" s="187">
        <v>19</v>
      </c>
      <c r="AD231" s="195">
        <v>1.2</v>
      </c>
      <c r="AE231" s="196">
        <v>4.9000000000000004</v>
      </c>
      <c r="AF231" s="263" t="str">
        <f>MID(Tabelle2[[#This Row],[bnr full]],1,4)</f>
        <v>F151</v>
      </c>
      <c r="AG231" s="264" t="str">
        <f>MID(Tabelle2[[#This Row],[bnr full]],5,3)</f>
        <v>145</v>
      </c>
      <c r="AH231" s="265" t="str">
        <f>MID(Tabelle2[[#This Row],[bnr full]],8,3)</f>
        <v>222</v>
      </c>
      <c r="AI231" s="264" t="str">
        <f>MID(Tabelle2[[#This Row],[bnr full]],11,3)</f>
        <v>201</v>
      </c>
      <c r="AJ231" s="252" t="str">
        <f>MID(Tabelle2[[#This Row],[bnr full]],11,3)</f>
        <v>201</v>
      </c>
      <c r="AK231" s="197" t="s">
        <v>790</v>
      </c>
      <c r="AL231" s="124" t="str">
        <f ca="1">Sprache!$A$111</f>
        <v>Комплект (Л + П)</v>
      </c>
      <c r="AM231" s="187" t="s">
        <v>25</v>
      </c>
      <c r="AN231" s="187" t="str">
        <f ca="1">Sprache!$A$132</f>
        <v>регулируется</v>
      </c>
      <c r="AO231" s="187" t="s">
        <v>25</v>
      </c>
      <c r="AP231" s="187" t="s">
        <v>25</v>
      </c>
      <c r="AQ231" s="187">
        <f>Limits!$K$9</f>
        <v>200</v>
      </c>
      <c r="AR231" s="124">
        <v>1200</v>
      </c>
      <c r="AS231" s="187"/>
      <c r="AT231" s="124"/>
      <c r="AU231"/>
      <c r="AV231"/>
      <c r="AY231"/>
      <c r="AZ231"/>
      <c r="BA231"/>
      <c r="BB231"/>
      <c r="BC231"/>
    </row>
    <row r="232" spans="1:55" hidden="1" x14ac:dyDescent="0.25">
      <c r="A232" s="12" t="str">
        <f ca="1">IF(F232+G232+H232+I232+J232+D232+E232=3,IF(Tabelle2[[#This Row],[Kappe Weiß]]=Limits!$R$29,1,""),"")</f>
        <v/>
      </c>
      <c r="B232" s="12" t="str">
        <f ca="1">IF(G232+H232+I232+J232+E232+F232=2,IF(Tabelle2[[#This Row],[Kappe Weiß]]=Limits!$R$29,1,""),"")</f>
        <v/>
      </c>
      <c r="C232" s="291">
        <v>1</v>
      </c>
      <c r="D232" s="171">
        <f>IF(Limits!$P$11=TRUE,1,0)</f>
        <v>0</v>
      </c>
      <c r="E232" s="172">
        <f>IF(Daten!$P232+Daten!$Q232+Daten!$S232=3,1,0)</f>
        <v>0</v>
      </c>
      <c r="F232" s="173">
        <f ca="1">IF(AND(Limits!$Q$21=TRUE,Daten!O232=1)=TRUE,1,0)</f>
        <v>0</v>
      </c>
      <c r="G232" s="174">
        <f>IF(AND(Limits!$Q$25=TRUE,Daten!N232=1)=TRUE,1,0)</f>
        <v>0</v>
      </c>
      <c r="H232" s="174">
        <f>IF(AND(Limits!$Q$24=TRUE,Daten!M232=1)=TRUE,1,0)</f>
        <v>0</v>
      </c>
      <c r="I232" s="174">
        <f>IF(AND(Limits!$Q$23=TRUE,Daten!L232=1)=TRUE,1,0)</f>
        <v>0</v>
      </c>
      <c r="J232" s="174">
        <f>IF(AND(Limits!$Q$22=TRUE,Daten!K232=1)=TRUE,1,0)</f>
        <v>0</v>
      </c>
      <c r="K232" s="188">
        <f>IF(Daten!$V232=13,1,0)</f>
        <v>0</v>
      </c>
      <c r="L232" s="189">
        <f>IF(Daten!$V232&lt;&gt;Daten!$W232,1,IF(Daten!$V232=14,1,0))</f>
        <v>0</v>
      </c>
      <c r="M232" s="189">
        <f>IF(Daten!$V232&lt;&gt;Daten!$W232,1,IF(Daten!$V232=16,1,0))</f>
        <v>1</v>
      </c>
      <c r="N232" s="189">
        <f>IF(Daten!$W232=17,1,0)</f>
        <v>0</v>
      </c>
      <c r="O232" s="190">
        <f ca="1">IF(Daten!$X232=Sprache!$A$70,1,0)</f>
        <v>0</v>
      </c>
      <c r="P232" s="191">
        <f>IF(AND(Daten!$AQ232&lt;=KINVARO!$AW$3,Daten!$AR232&gt;=KINVARO!$AW$3)=TRUE,1,0)</f>
        <v>1</v>
      </c>
      <c r="Q232" s="192">
        <f>IF(AND(Daten!$AA232&lt;=KINVARO!$AW$4,Daten!$AB232&gt;=KINVARO!$AW$4)=TRUE,1,0)</f>
        <v>0</v>
      </c>
      <c r="R232" s="192"/>
      <c r="S232" s="192">
        <f>IF(AND(Daten!$AD232&lt;=Limits!$I$70,Daten!$AE232&gt;=Limits!$I$70)=TRUE,1,0)</f>
        <v>0</v>
      </c>
      <c r="T232" s="193">
        <f ca="1">IF(Daten!$Y232=Sprache!$A$135,1,0)</f>
        <v>0</v>
      </c>
      <c r="U232" s="124" t="str">
        <f ca="1">Sprache!$A$63</f>
        <v>T-57 Поворотный подъемник</v>
      </c>
      <c r="V232" s="194">
        <v>16</v>
      </c>
      <c r="W232" s="193">
        <v>16</v>
      </c>
      <c r="X232" s="187" t="str">
        <f ca="1">Sprache!$A$141</f>
        <v>Alu</v>
      </c>
      <c r="Y232" s="187" t="str">
        <f ca="1">Sprache!$A$136</f>
        <v>nein</v>
      </c>
      <c r="Z232" s="187" t="str">
        <f ca="1">Sprache!$A$79</f>
        <v>Створка</v>
      </c>
      <c r="AA232" s="187">
        <v>350</v>
      </c>
      <c r="AB232" s="124">
        <v>399</v>
      </c>
      <c r="AC232" s="187">
        <v>19</v>
      </c>
      <c r="AD232" s="195">
        <v>1.2</v>
      </c>
      <c r="AE232" s="196">
        <v>4.9000000000000004</v>
      </c>
      <c r="AF232" s="263" t="str">
        <f>MID(Tabelle2[[#This Row],[bnr full]],1,4)</f>
        <v>F151</v>
      </c>
      <c r="AG232" s="264" t="str">
        <f>MID(Tabelle2[[#This Row],[bnr full]],5,3)</f>
        <v>145</v>
      </c>
      <c r="AH232" s="265" t="str">
        <f>MID(Tabelle2[[#This Row],[bnr full]],8,3)</f>
        <v>223</v>
      </c>
      <c r="AI232" s="264" t="str">
        <f>MID(Tabelle2[[#This Row],[bnr full]],11,3)</f>
        <v>201</v>
      </c>
      <c r="AJ232" s="252" t="str">
        <f>MID(Tabelle2[[#This Row],[bnr full]],11,3)</f>
        <v>201</v>
      </c>
      <c r="AK232" s="197" t="s">
        <v>791</v>
      </c>
      <c r="AL232" s="124" t="str">
        <f ca="1">Sprache!$A$111</f>
        <v>Комплект (Л + П)</v>
      </c>
      <c r="AM232" s="187" t="s">
        <v>25</v>
      </c>
      <c r="AN232" s="187" t="str">
        <f ca="1">Sprache!$A$132</f>
        <v>регулируется</v>
      </c>
      <c r="AO232" s="187" t="s">
        <v>25</v>
      </c>
      <c r="AP232" s="187" t="s">
        <v>25</v>
      </c>
      <c r="AQ232" s="187">
        <f>Limits!$K$9</f>
        <v>200</v>
      </c>
      <c r="AR232" s="124">
        <v>1200</v>
      </c>
      <c r="AS232" s="187"/>
      <c r="AT232" s="124"/>
      <c r="AU232"/>
      <c r="AV232"/>
      <c r="AY232"/>
      <c r="AZ232"/>
      <c r="BA232"/>
      <c r="BB232"/>
      <c r="BC232"/>
    </row>
    <row r="233" spans="1:55" hidden="1" x14ac:dyDescent="0.25">
      <c r="A233" s="12" t="str">
        <f ca="1">IF(F233+G233+H233+I233+J233+D233+E233=3,IF(Tabelle2[[#This Row],[Kappe Weiß]]=Limits!$R$29,1,""),"")</f>
        <v/>
      </c>
      <c r="B233" s="12" t="str">
        <f ca="1">IF(G233+H233+I233+J233+E233+F233=2,IF(Tabelle2[[#This Row],[Kappe Weiß]]=Limits!$R$29,1,""),"")</f>
        <v/>
      </c>
      <c r="C233" s="292">
        <v>1</v>
      </c>
      <c r="D233" s="171">
        <f>IF(Limits!$P$11=TRUE,1,0)</f>
        <v>0</v>
      </c>
      <c r="E233" s="172">
        <f>IF(Daten!$P233+Daten!$Q233+Daten!$S233=3,1,0)</f>
        <v>0</v>
      </c>
      <c r="F233" s="173">
        <f ca="1">IF(AND(Limits!$Q$21=TRUE,Daten!O233=1)=TRUE,1,0)</f>
        <v>1</v>
      </c>
      <c r="G233" s="174">
        <f ca="1">IF(AND(Limits!$Q$25=TRUE,Daten!N233=1)=TRUE,1,0)</f>
        <v>0</v>
      </c>
      <c r="H233" s="174">
        <f ca="1">IF(AND(Limits!$Q$24=TRUE,Daten!M233=1)=TRUE,1,0)</f>
        <v>0</v>
      </c>
      <c r="I233" s="174">
        <f ca="1">IF(AND(Limits!$Q$23=TRUE,Daten!L233=1)=TRUE,1,0)</f>
        <v>0</v>
      </c>
      <c r="J233" s="174">
        <f ca="1">IF(AND(Limits!$Q$22=TRUE,Daten!K233=1)=TRUE,1,0)</f>
        <v>0</v>
      </c>
      <c r="K233" s="188">
        <f ca="1">IF(Daten!$V233=13,1,0)</f>
        <v>0</v>
      </c>
      <c r="L233" s="189">
        <f ca="1">IF(Daten!$V233&lt;&gt;Daten!$W233,1,IF(Daten!$V233=14,1,0))</f>
        <v>0</v>
      </c>
      <c r="M233" s="189">
        <f ca="1">IF(Daten!$V233&lt;&gt;Daten!$W233,1,IF(Daten!$V233=16,1,0))</f>
        <v>0</v>
      </c>
      <c r="N233" s="189">
        <f ca="1">IF(Daten!$W233=17,1,0)</f>
        <v>0</v>
      </c>
      <c r="O233" s="190">
        <f ca="1">IF(Daten!$X233=Sprache!$A$70,1,0)</f>
        <v>1</v>
      </c>
      <c r="P233" s="198">
        <f>IF(AND(Daten!$AQ233&lt;=KINVARO!$AW$3,Daten!$AR233&gt;=KINVARO!$AW$3)=TRUE,1,0)</f>
        <v>1</v>
      </c>
      <c r="Q233" s="199">
        <f>IF(AND(Daten!$AA233&lt;=KINVARO!$AW$4,Daten!$AB233&gt;=KINVARO!$AW$4)=TRUE,1,0)</f>
        <v>0</v>
      </c>
      <c r="R233" s="199"/>
      <c r="S233" s="199">
        <f>IF(AND(Daten!$AD233&lt;=Limits!$I$70,Daten!$AE233&gt;=Limits!$I$70)=TRUE,1,0)</f>
        <v>0</v>
      </c>
      <c r="T233" s="200">
        <f ca="1">IF(Daten!$Y233=Sprache!$A$135,1,0)</f>
        <v>0</v>
      </c>
      <c r="U233" s="201" t="str">
        <f ca="1">Sprache!$A$63</f>
        <v>T-57 Поворотный подъемник</v>
      </c>
      <c r="V233" s="202" t="str">
        <f ca="1">Sprache!$A$74</f>
        <v>var</v>
      </c>
      <c r="W233" s="200" t="str">
        <f ca="1">Sprache!$A$74</f>
        <v>var</v>
      </c>
      <c r="X233" s="203" t="str">
        <f ca="1">Sprache!$A$70</f>
        <v>соединение с древесиной</v>
      </c>
      <c r="Y233" s="187" t="str">
        <f ca="1">Sprache!$A$136</f>
        <v>nein</v>
      </c>
      <c r="Z233" s="203" t="str">
        <f ca="1">Sprache!$A$79</f>
        <v>Створка</v>
      </c>
      <c r="AA233" s="203">
        <v>400</v>
      </c>
      <c r="AB233" s="201">
        <v>449</v>
      </c>
      <c r="AC233" s="203">
        <v>19</v>
      </c>
      <c r="AD233" s="204">
        <v>1.4</v>
      </c>
      <c r="AE233" s="205">
        <v>3.8</v>
      </c>
      <c r="AF233" s="266" t="str">
        <f>MID(Tabelle2[[#This Row],[bnr full]],1,4)</f>
        <v>F151</v>
      </c>
      <c r="AG233" s="267" t="str">
        <f>MID(Tabelle2[[#This Row],[bnr full]],5,3)</f>
        <v>145</v>
      </c>
      <c r="AH233" s="268" t="str">
        <f>MID(Tabelle2[[#This Row],[bnr full]],8,3)</f>
        <v>224</v>
      </c>
      <c r="AI233" s="267" t="str">
        <f>MID(Tabelle2[[#This Row],[bnr full]],11,3)</f>
        <v>201</v>
      </c>
      <c r="AJ233" s="253" t="str">
        <f>MID(Tabelle2[[#This Row],[bnr full]],11,3)</f>
        <v>201</v>
      </c>
      <c r="AK233" s="206" t="s">
        <v>789</v>
      </c>
      <c r="AL233" s="201" t="str">
        <f ca="1">Sprache!$A$111</f>
        <v>Комплект (Л + П)</v>
      </c>
      <c r="AM233" s="203" t="s">
        <v>25</v>
      </c>
      <c r="AN233" s="203" t="str">
        <f ca="1">Sprache!$A$132</f>
        <v>регулируется</v>
      </c>
      <c r="AO233" s="203" t="s">
        <v>25</v>
      </c>
      <c r="AP233" s="203" t="s">
        <v>25</v>
      </c>
      <c r="AQ233" s="203">
        <f>Limits!$K$9</f>
        <v>200</v>
      </c>
      <c r="AR233" s="201">
        <v>1200</v>
      </c>
      <c r="AS233" s="187"/>
      <c r="AT233" s="124"/>
      <c r="AU233"/>
      <c r="AV233"/>
      <c r="AY233"/>
      <c r="AZ233"/>
      <c r="BA233"/>
      <c r="BB233"/>
      <c r="BC233"/>
    </row>
    <row r="234" spans="1:55" hidden="1" x14ac:dyDescent="0.25">
      <c r="A234" s="12" t="str">
        <f ca="1">IF(F234+G234+H234+I234+J234+D234+E234=3,IF(Tabelle2[[#This Row],[Kappe Weiß]]=Limits!$R$29,1,""),"")</f>
        <v/>
      </c>
      <c r="B234" s="12" t="str">
        <f ca="1">IF(G234+H234+I234+J234+E234+F234=2,IF(Tabelle2[[#This Row],[Kappe Weiß]]=Limits!$R$29,1,""),"")</f>
        <v/>
      </c>
      <c r="C234" s="291">
        <v>1</v>
      </c>
      <c r="D234" s="171">
        <f>IF(Limits!$P$11=TRUE,1,0)</f>
        <v>0</v>
      </c>
      <c r="E234" s="172">
        <f>IF(Daten!$P234+Daten!$Q234+Daten!$S234=3,1,0)</f>
        <v>0</v>
      </c>
      <c r="F234" s="173">
        <f ca="1">IF(AND(Limits!$Q$21=TRUE,Daten!O234=1)=TRUE,1,0)</f>
        <v>0</v>
      </c>
      <c r="G234" s="174">
        <f>IF(AND(Limits!$Q$25=TRUE,Daten!N234=1)=TRUE,1,0)</f>
        <v>0</v>
      </c>
      <c r="H234" s="174">
        <f>IF(AND(Limits!$Q$24=TRUE,Daten!M234=1)=TRUE,1,0)</f>
        <v>0</v>
      </c>
      <c r="I234" s="174">
        <f>IF(AND(Limits!$Q$23=TRUE,Daten!L234=1)=TRUE,1,0)</f>
        <v>0</v>
      </c>
      <c r="J234" s="174">
        <f>IF(AND(Limits!$Q$22=TRUE,Daten!K234=1)=TRUE,1,0)</f>
        <v>0</v>
      </c>
      <c r="K234" s="188">
        <f>IF(Daten!$V234=13,1,0)</f>
        <v>0</v>
      </c>
      <c r="L234" s="189">
        <f>IF(Daten!$V234&lt;&gt;Daten!$W234,1,IF(Daten!$V234=14,1,0))</f>
        <v>1</v>
      </c>
      <c r="M234" s="189">
        <f>IF(Daten!$V234&lt;&gt;Daten!$W234,1,IF(Daten!$V234=16,1,0))</f>
        <v>0</v>
      </c>
      <c r="N234" s="189">
        <f>IF(Daten!$W234=17,1,0)</f>
        <v>0</v>
      </c>
      <c r="O234" s="190">
        <f ca="1">IF(Daten!$X234=Sprache!$A$70,1,0)</f>
        <v>0</v>
      </c>
      <c r="P234" s="191">
        <f>IF(AND(Daten!$AQ234&lt;=KINVARO!$AW$3,Daten!$AR234&gt;=KINVARO!$AW$3)=TRUE,1,0)</f>
        <v>1</v>
      </c>
      <c r="Q234" s="192">
        <f>IF(AND(Daten!$AA234&lt;=KINVARO!$AW$4,Daten!$AB234&gt;=KINVARO!$AW$4)=TRUE,1,0)</f>
        <v>0</v>
      </c>
      <c r="R234" s="192"/>
      <c r="S234" s="192">
        <f>IF(AND(Daten!$AD234&lt;=Limits!$I$70,Daten!$AE234&gt;=Limits!$I$70)=TRUE,1,0)</f>
        <v>0</v>
      </c>
      <c r="T234" s="193">
        <f ca="1">IF(Daten!$Y234=Sprache!$A$135,1,0)</f>
        <v>0</v>
      </c>
      <c r="U234" s="124" t="str">
        <f ca="1">Sprache!$A$63</f>
        <v>T-57 Поворотный подъемник</v>
      </c>
      <c r="V234" s="194">
        <v>14</v>
      </c>
      <c r="W234" s="193">
        <v>14</v>
      </c>
      <c r="X234" s="187" t="str">
        <f ca="1">Sprache!$A$141</f>
        <v>Alu</v>
      </c>
      <c r="Y234" s="187" t="str">
        <f ca="1">Sprache!$A$136</f>
        <v>nein</v>
      </c>
      <c r="Z234" s="187" t="str">
        <f ca="1">Sprache!$A$79</f>
        <v>Створка</v>
      </c>
      <c r="AA234" s="187">
        <v>400</v>
      </c>
      <c r="AB234" s="124">
        <v>449</v>
      </c>
      <c r="AC234" s="187">
        <v>19</v>
      </c>
      <c r="AD234" s="195">
        <v>1.4</v>
      </c>
      <c r="AE234" s="196">
        <v>3.8</v>
      </c>
      <c r="AF234" s="263" t="str">
        <f>MID(Tabelle2[[#This Row],[bnr full]],1,4)</f>
        <v>F151</v>
      </c>
      <c r="AG234" s="264" t="str">
        <f>MID(Tabelle2[[#This Row],[bnr full]],5,3)</f>
        <v>145</v>
      </c>
      <c r="AH234" s="265" t="str">
        <f>MID(Tabelle2[[#This Row],[bnr full]],8,3)</f>
        <v>222</v>
      </c>
      <c r="AI234" s="264" t="str">
        <f>MID(Tabelle2[[#This Row],[bnr full]],11,3)</f>
        <v>201</v>
      </c>
      <c r="AJ234" s="252" t="str">
        <f>MID(Tabelle2[[#This Row],[bnr full]],11,3)</f>
        <v>201</v>
      </c>
      <c r="AK234" s="197" t="s">
        <v>790</v>
      </c>
      <c r="AL234" s="124" t="str">
        <f ca="1">Sprache!$A$111</f>
        <v>Комплект (Л + П)</v>
      </c>
      <c r="AM234" s="187" t="s">
        <v>25</v>
      </c>
      <c r="AN234" s="187" t="str">
        <f ca="1">Sprache!$A$132</f>
        <v>регулируется</v>
      </c>
      <c r="AO234" s="187" t="s">
        <v>25</v>
      </c>
      <c r="AP234" s="187" t="s">
        <v>25</v>
      </c>
      <c r="AQ234" s="187">
        <f>Limits!$K$9</f>
        <v>200</v>
      </c>
      <c r="AR234" s="124">
        <v>1200</v>
      </c>
      <c r="AS234" s="187"/>
      <c r="AT234" s="124"/>
      <c r="AU234"/>
      <c r="AV234"/>
      <c r="AY234"/>
      <c r="AZ234"/>
      <c r="BA234"/>
      <c r="BB234"/>
      <c r="BC234"/>
    </row>
    <row r="235" spans="1:55" hidden="1" x14ac:dyDescent="0.25">
      <c r="A235" s="12" t="str">
        <f ca="1">IF(F235+G235+H235+I235+J235+D235+E235=3,IF(Tabelle2[[#This Row],[Kappe Weiß]]=Limits!$R$29,1,""),"")</f>
        <v/>
      </c>
      <c r="B235" s="12" t="str">
        <f ca="1">IF(G235+H235+I235+J235+E235+F235=2,IF(Tabelle2[[#This Row],[Kappe Weiß]]=Limits!$R$29,1,""),"")</f>
        <v/>
      </c>
      <c r="C235" s="291">
        <v>1</v>
      </c>
      <c r="D235" s="171">
        <f>IF(Limits!$P$11=TRUE,1,0)</f>
        <v>0</v>
      </c>
      <c r="E235" s="172">
        <f>IF(Daten!$P235+Daten!$Q235+Daten!$S235=3,1,0)</f>
        <v>0</v>
      </c>
      <c r="F235" s="173">
        <f ca="1">IF(AND(Limits!$Q$21=TRUE,Daten!O235=1)=TRUE,1,0)</f>
        <v>0</v>
      </c>
      <c r="G235" s="174">
        <f>IF(AND(Limits!$Q$25=TRUE,Daten!N235=1)=TRUE,1,0)</f>
        <v>0</v>
      </c>
      <c r="H235" s="174">
        <f>IF(AND(Limits!$Q$24=TRUE,Daten!M235=1)=TRUE,1,0)</f>
        <v>0</v>
      </c>
      <c r="I235" s="174">
        <f>IF(AND(Limits!$Q$23=TRUE,Daten!L235=1)=TRUE,1,0)</f>
        <v>0</v>
      </c>
      <c r="J235" s="174">
        <f>IF(AND(Limits!$Q$22=TRUE,Daten!K235=1)=TRUE,1,0)</f>
        <v>0</v>
      </c>
      <c r="K235" s="188">
        <f>IF(Daten!$V235=13,1,0)</f>
        <v>0</v>
      </c>
      <c r="L235" s="189">
        <f>IF(Daten!$V235&lt;&gt;Daten!$W235,1,IF(Daten!$V235=14,1,0))</f>
        <v>0</v>
      </c>
      <c r="M235" s="189">
        <f>IF(Daten!$V235&lt;&gt;Daten!$W235,1,IF(Daten!$V235=16,1,0))</f>
        <v>1</v>
      </c>
      <c r="N235" s="189">
        <f>IF(Daten!$W235=17,1,0)</f>
        <v>0</v>
      </c>
      <c r="O235" s="190">
        <f ca="1">IF(Daten!$X235=Sprache!$A$70,1,0)</f>
        <v>0</v>
      </c>
      <c r="P235" s="191">
        <f>IF(AND(Daten!$AQ235&lt;=KINVARO!$AW$3,Daten!$AR235&gt;=KINVARO!$AW$3)=TRUE,1,0)</f>
        <v>1</v>
      </c>
      <c r="Q235" s="192">
        <f>IF(AND(Daten!$AA235&lt;=KINVARO!$AW$4,Daten!$AB235&gt;=KINVARO!$AW$4)=TRUE,1,0)</f>
        <v>0</v>
      </c>
      <c r="R235" s="192"/>
      <c r="S235" s="192">
        <f>IF(AND(Daten!$AD235&lt;=Limits!$I$70,Daten!$AE235&gt;=Limits!$I$70)=TRUE,1,0)</f>
        <v>0</v>
      </c>
      <c r="T235" s="193">
        <f ca="1">IF(Daten!$Y235=Sprache!$A$135,1,0)</f>
        <v>0</v>
      </c>
      <c r="U235" s="124" t="str">
        <f ca="1">Sprache!$A$63</f>
        <v>T-57 Поворотный подъемник</v>
      </c>
      <c r="V235" s="194">
        <v>16</v>
      </c>
      <c r="W235" s="193">
        <v>16</v>
      </c>
      <c r="X235" s="187" t="str">
        <f ca="1">Sprache!$A$141</f>
        <v>Alu</v>
      </c>
      <c r="Y235" s="187" t="str">
        <f ca="1">Sprache!$A$136</f>
        <v>nein</v>
      </c>
      <c r="Z235" s="187" t="str">
        <f ca="1">Sprache!$A$79</f>
        <v>Створка</v>
      </c>
      <c r="AA235" s="187">
        <v>400</v>
      </c>
      <c r="AB235" s="124">
        <v>449</v>
      </c>
      <c r="AC235" s="187">
        <v>19</v>
      </c>
      <c r="AD235" s="195">
        <v>1.4</v>
      </c>
      <c r="AE235" s="196">
        <v>3.8</v>
      </c>
      <c r="AF235" s="263" t="str">
        <f>MID(Tabelle2[[#This Row],[bnr full]],1,4)</f>
        <v>F151</v>
      </c>
      <c r="AG235" s="264" t="str">
        <f>MID(Tabelle2[[#This Row],[bnr full]],5,3)</f>
        <v>145</v>
      </c>
      <c r="AH235" s="265" t="str">
        <f>MID(Tabelle2[[#This Row],[bnr full]],8,3)</f>
        <v>223</v>
      </c>
      <c r="AI235" s="264" t="str">
        <f>MID(Tabelle2[[#This Row],[bnr full]],11,3)</f>
        <v>201</v>
      </c>
      <c r="AJ235" s="252" t="str">
        <f>MID(Tabelle2[[#This Row],[bnr full]],11,3)</f>
        <v>201</v>
      </c>
      <c r="AK235" s="197" t="s">
        <v>791</v>
      </c>
      <c r="AL235" s="124" t="str">
        <f ca="1">Sprache!$A$111</f>
        <v>Комплект (Л + П)</v>
      </c>
      <c r="AM235" s="187" t="s">
        <v>25</v>
      </c>
      <c r="AN235" s="187" t="str">
        <f ca="1">Sprache!$A$132</f>
        <v>регулируется</v>
      </c>
      <c r="AO235" s="187" t="s">
        <v>25</v>
      </c>
      <c r="AP235" s="187" t="s">
        <v>25</v>
      </c>
      <c r="AQ235" s="187">
        <f>Limits!$K$9</f>
        <v>200</v>
      </c>
      <c r="AR235" s="124">
        <v>1200</v>
      </c>
      <c r="AS235" s="187"/>
      <c r="AT235" s="124"/>
      <c r="AU235"/>
      <c r="AV235"/>
      <c r="AY235"/>
      <c r="AZ235"/>
      <c r="BA235"/>
      <c r="BB235"/>
      <c r="BC235"/>
    </row>
    <row r="236" spans="1:55" hidden="1" x14ac:dyDescent="0.25">
      <c r="A236" s="12" t="str">
        <f ca="1">IF(F236+G236+H236+I236+J236+D236+E236=3,IF(Tabelle2[[#This Row],[Kappe Weiß]]=Limits!$R$29,1,""),"")</f>
        <v/>
      </c>
      <c r="B236" s="12" t="str">
        <f ca="1">IF(G236+H236+I236+J236+E236+F236=2,IF(Tabelle2[[#This Row],[Kappe Weiß]]=Limits!$R$29,1,""),"")</f>
        <v/>
      </c>
      <c r="C236" s="292">
        <v>1</v>
      </c>
      <c r="D236" s="171">
        <f>IF(Limits!$P$11=TRUE,1,0)</f>
        <v>0</v>
      </c>
      <c r="E236" s="172">
        <f>IF(Daten!$P236+Daten!$Q236+Daten!$S236=3,1,0)</f>
        <v>0</v>
      </c>
      <c r="F236" s="173">
        <f ca="1">IF(AND(Limits!$Q$21=TRUE,Daten!O236=1)=TRUE,1,0)</f>
        <v>1</v>
      </c>
      <c r="G236" s="174">
        <f ca="1">IF(AND(Limits!$Q$25=TRUE,Daten!N236=1)=TRUE,1,0)</f>
        <v>0</v>
      </c>
      <c r="H236" s="174">
        <f ca="1">IF(AND(Limits!$Q$24=TRUE,Daten!M236=1)=TRUE,1,0)</f>
        <v>0</v>
      </c>
      <c r="I236" s="174">
        <f ca="1">IF(AND(Limits!$Q$23=TRUE,Daten!L236=1)=TRUE,1,0)</f>
        <v>0</v>
      </c>
      <c r="J236" s="174">
        <f ca="1">IF(AND(Limits!$Q$22=TRUE,Daten!K236=1)=TRUE,1,0)</f>
        <v>0</v>
      </c>
      <c r="K236" s="188">
        <f ca="1">IF(Daten!$V236=13,1,0)</f>
        <v>0</v>
      </c>
      <c r="L236" s="189">
        <f ca="1">IF(Daten!$V236&lt;&gt;Daten!$W236,1,IF(Daten!$V236=14,1,0))</f>
        <v>0</v>
      </c>
      <c r="M236" s="189">
        <f ca="1">IF(Daten!$V236&lt;&gt;Daten!$W236,1,IF(Daten!$V236=16,1,0))</f>
        <v>0</v>
      </c>
      <c r="N236" s="189">
        <f ca="1">IF(Daten!$W236=17,1,0)</f>
        <v>0</v>
      </c>
      <c r="O236" s="190">
        <f ca="1">IF(Daten!$X236=Sprache!$A$70,1,0)</f>
        <v>1</v>
      </c>
      <c r="P236" s="198">
        <f>IF(AND(Daten!$AQ236&lt;=KINVARO!$AW$3,Daten!$AR236&gt;=KINVARO!$AW$3)=TRUE,1,0)</f>
        <v>1</v>
      </c>
      <c r="Q236" s="199">
        <f>IF(AND(Daten!$AA236&lt;=KINVARO!$AW$4,Daten!$AB236&gt;=KINVARO!$AW$4)=TRUE,1,0)</f>
        <v>0</v>
      </c>
      <c r="R236" s="199"/>
      <c r="S236" s="199">
        <f>IF(AND(Daten!$AD236&lt;=Limits!$I$70,Daten!$AE236&gt;=Limits!$I$70)=TRUE,1,0)</f>
        <v>0</v>
      </c>
      <c r="T236" s="200">
        <f ca="1">IF(Daten!$Y236=Sprache!$A$135,1,0)</f>
        <v>0</v>
      </c>
      <c r="U236" s="201" t="str">
        <f ca="1">Sprache!$A$63</f>
        <v>T-57 Поворотный подъемник</v>
      </c>
      <c r="V236" s="202" t="str">
        <f ca="1">Sprache!$A$74</f>
        <v>var</v>
      </c>
      <c r="W236" s="200" t="str">
        <f ca="1">Sprache!$A$74</f>
        <v>var</v>
      </c>
      <c r="X236" s="203" t="str">
        <f ca="1">Sprache!$A$70</f>
        <v>соединение с древесиной</v>
      </c>
      <c r="Y236" s="187" t="str">
        <f ca="1">Sprache!$A$136</f>
        <v>nein</v>
      </c>
      <c r="Z236" s="203" t="str">
        <f ca="1">Sprache!$A$79</f>
        <v>Створка</v>
      </c>
      <c r="AA236" s="203">
        <v>450</v>
      </c>
      <c r="AB236" s="201">
        <v>499</v>
      </c>
      <c r="AC236" s="203">
        <v>19</v>
      </c>
      <c r="AD236" s="204">
        <v>1.5</v>
      </c>
      <c r="AE236" s="205">
        <v>3.6</v>
      </c>
      <c r="AF236" s="266" t="str">
        <f>MID(Tabelle2[[#This Row],[bnr full]],1,4)</f>
        <v>F151</v>
      </c>
      <c r="AG236" s="267" t="str">
        <f>MID(Tabelle2[[#This Row],[bnr full]],5,3)</f>
        <v>145</v>
      </c>
      <c r="AH236" s="268" t="str">
        <f>MID(Tabelle2[[#This Row],[bnr full]],8,3)</f>
        <v>224</v>
      </c>
      <c r="AI236" s="267" t="str">
        <f>MID(Tabelle2[[#This Row],[bnr full]],11,3)</f>
        <v>201</v>
      </c>
      <c r="AJ236" s="253" t="str">
        <f>MID(Tabelle2[[#This Row],[bnr full]],11,3)</f>
        <v>201</v>
      </c>
      <c r="AK236" s="206" t="s">
        <v>789</v>
      </c>
      <c r="AL236" s="201" t="str">
        <f ca="1">Sprache!$A$111</f>
        <v>Комплект (Л + П)</v>
      </c>
      <c r="AM236" s="203" t="s">
        <v>25</v>
      </c>
      <c r="AN236" s="203" t="str">
        <f ca="1">Sprache!$A$132</f>
        <v>регулируется</v>
      </c>
      <c r="AO236" s="203" t="s">
        <v>25</v>
      </c>
      <c r="AP236" s="203" t="s">
        <v>25</v>
      </c>
      <c r="AQ236" s="203">
        <f>Limits!$K$9</f>
        <v>200</v>
      </c>
      <c r="AR236" s="201">
        <v>1200</v>
      </c>
      <c r="AS236" s="187"/>
      <c r="AT236" s="124"/>
      <c r="AU236"/>
      <c r="AV236"/>
      <c r="AY236"/>
      <c r="AZ236"/>
      <c r="BA236"/>
      <c r="BB236"/>
      <c r="BC236"/>
    </row>
    <row r="237" spans="1:55" s="5" customFormat="1" hidden="1" x14ac:dyDescent="0.25">
      <c r="A237" s="12" t="str">
        <f ca="1">IF(F237+G237+H237+I237+J237+D237+E237=3,IF(Tabelle2[[#This Row],[Kappe Weiß]]=Limits!$R$29,1,""),"")</f>
        <v/>
      </c>
      <c r="B237" s="12" t="str">
        <f ca="1">IF(G237+H237+I237+J237+E237+F237=2,IF(Tabelle2[[#This Row],[Kappe Weiß]]=Limits!$R$29,1,""),"")</f>
        <v/>
      </c>
      <c r="C237" s="291">
        <v>1</v>
      </c>
      <c r="D237" s="171">
        <f>IF(Limits!$P$11=TRUE,1,0)</f>
        <v>0</v>
      </c>
      <c r="E237" s="172">
        <f>IF(Daten!$P237+Daten!$Q237+Daten!$S237=3,1,0)</f>
        <v>0</v>
      </c>
      <c r="F237" s="173">
        <f ca="1">IF(AND(Limits!$Q$21=TRUE,Daten!O237=1)=TRUE,1,0)</f>
        <v>0</v>
      </c>
      <c r="G237" s="174">
        <f>IF(AND(Limits!$Q$25=TRUE,Daten!N237=1)=TRUE,1,0)</f>
        <v>0</v>
      </c>
      <c r="H237" s="174">
        <f>IF(AND(Limits!$Q$24=TRUE,Daten!M237=1)=TRUE,1,0)</f>
        <v>0</v>
      </c>
      <c r="I237" s="174">
        <f>IF(AND(Limits!$Q$23=TRUE,Daten!L237=1)=TRUE,1,0)</f>
        <v>0</v>
      </c>
      <c r="J237" s="174">
        <f>IF(AND(Limits!$Q$22=TRUE,Daten!K237=1)=TRUE,1,0)</f>
        <v>0</v>
      </c>
      <c r="K237" s="188">
        <f>IF(Daten!$V237=13,1,0)</f>
        <v>0</v>
      </c>
      <c r="L237" s="189">
        <f>IF(Daten!$V237&lt;&gt;Daten!$W237,1,IF(Daten!$V237=14,1,0))</f>
        <v>1</v>
      </c>
      <c r="M237" s="189">
        <f>IF(Daten!$V237&lt;&gt;Daten!$W237,1,IF(Daten!$V237=16,1,0))</f>
        <v>0</v>
      </c>
      <c r="N237" s="189">
        <f>IF(Daten!$W237=17,1,0)</f>
        <v>0</v>
      </c>
      <c r="O237" s="190">
        <f ca="1">IF(Daten!$X237=Sprache!$A$70,1,0)</f>
        <v>0</v>
      </c>
      <c r="P237" s="191">
        <f>IF(AND(Daten!$AQ237&lt;=KINVARO!$AW$3,Daten!$AR237&gt;=KINVARO!$AW$3)=TRUE,1,0)</f>
        <v>1</v>
      </c>
      <c r="Q237" s="192">
        <f>IF(AND(Daten!$AA237&lt;=KINVARO!$AW$4,Daten!$AB237&gt;=KINVARO!$AW$4)=TRUE,1,0)</f>
        <v>0</v>
      </c>
      <c r="R237" s="192"/>
      <c r="S237" s="192">
        <f>IF(AND(Daten!$AD237&lt;=Limits!$I$70,Daten!$AE237&gt;=Limits!$I$70)=TRUE,1,0)</f>
        <v>0</v>
      </c>
      <c r="T237" s="193">
        <f ca="1">IF(Daten!$Y237=Sprache!$A$135,1,0)</f>
        <v>0</v>
      </c>
      <c r="U237" s="124" t="str">
        <f ca="1">Sprache!$A$63</f>
        <v>T-57 Поворотный подъемник</v>
      </c>
      <c r="V237" s="194">
        <v>14</v>
      </c>
      <c r="W237" s="193">
        <v>14</v>
      </c>
      <c r="X237" s="187" t="str">
        <f ca="1">Sprache!$A$141</f>
        <v>Alu</v>
      </c>
      <c r="Y237" s="187" t="str">
        <f ca="1">Sprache!$A$136</f>
        <v>nein</v>
      </c>
      <c r="Z237" s="187" t="str">
        <f ca="1">Sprache!$A$79</f>
        <v>Створка</v>
      </c>
      <c r="AA237" s="187">
        <v>450</v>
      </c>
      <c r="AB237" s="124">
        <v>499</v>
      </c>
      <c r="AC237" s="187">
        <v>19</v>
      </c>
      <c r="AD237" s="195">
        <v>1.5</v>
      </c>
      <c r="AE237" s="196">
        <v>3.6</v>
      </c>
      <c r="AF237" s="263" t="str">
        <f>MID(Tabelle2[[#This Row],[bnr full]],1,4)</f>
        <v>F151</v>
      </c>
      <c r="AG237" s="264" t="str">
        <f>MID(Tabelle2[[#This Row],[bnr full]],5,3)</f>
        <v>145</v>
      </c>
      <c r="AH237" s="265" t="str">
        <f>MID(Tabelle2[[#This Row],[bnr full]],8,3)</f>
        <v>222</v>
      </c>
      <c r="AI237" s="264" t="str">
        <f>MID(Tabelle2[[#This Row],[bnr full]],11,3)</f>
        <v>201</v>
      </c>
      <c r="AJ237" s="252" t="str">
        <f>MID(Tabelle2[[#This Row],[bnr full]],11,3)</f>
        <v>201</v>
      </c>
      <c r="AK237" s="197" t="s">
        <v>790</v>
      </c>
      <c r="AL237" s="124" t="str">
        <f ca="1">Sprache!$A$111</f>
        <v>Комплект (Л + П)</v>
      </c>
      <c r="AM237" s="187" t="s">
        <v>25</v>
      </c>
      <c r="AN237" s="187" t="str">
        <f ca="1">Sprache!$A$132</f>
        <v>регулируется</v>
      </c>
      <c r="AO237" s="187" t="s">
        <v>25</v>
      </c>
      <c r="AP237" s="187" t="s">
        <v>25</v>
      </c>
      <c r="AQ237" s="187">
        <f>Limits!$K$9</f>
        <v>200</v>
      </c>
      <c r="AR237" s="124">
        <v>1200</v>
      </c>
      <c r="AS237" s="187"/>
      <c r="AT237" s="124"/>
    </row>
    <row r="238" spans="1:55" hidden="1" x14ac:dyDescent="0.25">
      <c r="A238" s="12" t="str">
        <f ca="1">IF(F238+G238+H238+I238+J238+D238+E238=3,IF(Tabelle2[[#This Row],[Kappe Weiß]]=Limits!$R$29,1,""),"")</f>
        <v/>
      </c>
      <c r="B238" s="12" t="str">
        <f ca="1">IF(G238+H238+I238+J238+E238+F238=2,IF(Tabelle2[[#This Row],[Kappe Weiß]]=Limits!$R$29,1,""),"")</f>
        <v/>
      </c>
      <c r="C238" s="291">
        <v>1</v>
      </c>
      <c r="D238" s="171">
        <f>IF(Limits!$P$11=TRUE,1,0)</f>
        <v>0</v>
      </c>
      <c r="E238" s="172">
        <f>IF(Daten!$P238+Daten!$Q238+Daten!$S238=3,1,0)</f>
        <v>0</v>
      </c>
      <c r="F238" s="173">
        <f ca="1">IF(AND(Limits!$Q$21=TRUE,Daten!O238=1)=TRUE,1,0)</f>
        <v>0</v>
      </c>
      <c r="G238" s="174">
        <f>IF(AND(Limits!$Q$25=TRUE,Daten!N238=1)=TRUE,1,0)</f>
        <v>0</v>
      </c>
      <c r="H238" s="174">
        <f>IF(AND(Limits!$Q$24=TRUE,Daten!M238=1)=TRUE,1,0)</f>
        <v>0</v>
      </c>
      <c r="I238" s="174">
        <f>IF(AND(Limits!$Q$23=TRUE,Daten!L238=1)=TRUE,1,0)</f>
        <v>0</v>
      </c>
      <c r="J238" s="174">
        <f>IF(AND(Limits!$Q$22=TRUE,Daten!K238=1)=TRUE,1,0)</f>
        <v>0</v>
      </c>
      <c r="K238" s="188">
        <f>IF(Daten!$V238=13,1,0)</f>
        <v>0</v>
      </c>
      <c r="L238" s="189">
        <f>IF(Daten!$V238&lt;&gt;Daten!$W238,1,IF(Daten!$V238=14,1,0))</f>
        <v>0</v>
      </c>
      <c r="M238" s="189">
        <f>IF(Daten!$V238&lt;&gt;Daten!$W238,1,IF(Daten!$V238=16,1,0))</f>
        <v>1</v>
      </c>
      <c r="N238" s="189">
        <f>IF(Daten!$W238=17,1,0)</f>
        <v>0</v>
      </c>
      <c r="O238" s="190">
        <f ca="1">IF(Daten!$X238=Sprache!$A$70,1,0)</f>
        <v>0</v>
      </c>
      <c r="P238" s="191">
        <f>IF(AND(Daten!$AQ238&lt;=KINVARO!$AW$3,Daten!$AR238&gt;=KINVARO!$AW$3)=TRUE,1,0)</f>
        <v>1</v>
      </c>
      <c r="Q238" s="192">
        <f>IF(AND(Daten!$AA238&lt;=KINVARO!$AW$4,Daten!$AB238&gt;=KINVARO!$AW$4)=TRUE,1,0)</f>
        <v>0</v>
      </c>
      <c r="R238" s="192"/>
      <c r="S238" s="192">
        <f>IF(AND(Daten!$AD238&lt;=Limits!$I$70,Daten!$AE238&gt;=Limits!$I$70)=TRUE,1,0)</f>
        <v>0</v>
      </c>
      <c r="T238" s="193">
        <f ca="1">IF(Daten!$Y238=Sprache!$A$135,1,0)</f>
        <v>0</v>
      </c>
      <c r="U238" s="124" t="str">
        <f ca="1">Sprache!$A$63</f>
        <v>T-57 Поворотный подъемник</v>
      </c>
      <c r="V238" s="194">
        <v>16</v>
      </c>
      <c r="W238" s="193">
        <v>16</v>
      </c>
      <c r="X238" s="187" t="str">
        <f ca="1">Sprache!$A$141</f>
        <v>Alu</v>
      </c>
      <c r="Y238" s="187" t="str">
        <f ca="1">Sprache!$A$136</f>
        <v>nein</v>
      </c>
      <c r="Z238" s="187" t="str">
        <f ca="1">Sprache!$A$79</f>
        <v>Створка</v>
      </c>
      <c r="AA238" s="187">
        <v>450</v>
      </c>
      <c r="AB238" s="124">
        <v>499</v>
      </c>
      <c r="AC238" s="187">
        <v>19</v>
      </c>
      <c r="AD238" s="195">
        <v>1.5</v>
      </c>
      <c r="AE238" s="196">
        <v>3.6</v>
      </c>
      <c r="AF238" s="263" t="str">
        <f>MID(Tabelle2[[#This Row],[bnr full]],1,4)</f>
        <v>F151</v>
      </c>
      <c r="AG238" s="264" t="str">
        <f>MID(Tabelle2[[#This Row],[bnr full]],5,3)</f>
        <v>145</v>
      </c>
      <c r="AH238" s="265" t="str">
        <f>MID(Tabelle2[[#This Row],[bnr full]],8,3)</f>
        <v>223</v>
      </c>
      <c r="AI238" s="264" t="str">
        <f>MID(Tabelle2[[#This Row],[bnr full]],11,3)</f>
        <v>201</v>
      </c>
      <c r="AJ238" s="252" t="str">
        <f>MID(Tabelle2[[#This Row],[bnr full]],11,3)</f>
        <v>201</v>
      </c>
      <c r="AK238" s="197" t="s">
        <v>791</v>
      </c>
      <c r="AL238" s="124" t="str">
        <f ca="1">Sprache!$A$111</f>
        <v>Комплект (Л + П)</v>
      </c>
      <c r="AM238" s="187" t="s">
        <v>25</v>
      </c>
      <c r="AN238" s="187" t="str">
        <f ca="1">Sprache!$A$132</f>
        <v>регулируется</v>
      </c>
      <c r="AO238" s="187" t="s">
        <v>25</v>
      </c>
      <c r="AP238" s="187" t="s">
        <v>25</v>
      </c>
      <c r="AQ238" s="187">
        <f>Limits!$K$9</f>
        <v>200</v>
      </c>
      <c r="AR238" s="124">
        <v>1200</v>
      </c>
      <c r="AS238" s="187"/>
      <c r="AT238" s="124"/>
      <c r="AU238"/>
      <c r="AV238"/>
      <c r="AY238"/>
      <c r="AZ238"/>
      <c r="BA238"/>
      <c r="BB238"/>
      <c r="BC238"/>
    </row>
    <row r="239" spans="1:55" hidden="1" x14ac:dyDescent="0.25">
      <c r="A239" s="12" t="str">
        <f ca="1">IF(F239+G239+H239+I239+J239+D239+E239=3,IF(Tabelle2[[#This Row],[Kappe Weiß]]=Limits!$R$29,1,""),"")</f>
        <v/>
      </c>
      <c r="B239" s="12" t="str">
        <f ca="1">IF(G239+H239+I239+J239+E239+F239=2,IF(Tabelle2[[#This Row],[Kappe Weiß]]=Limits!$R$29,1,""),"")</f>
        <v/>
      </c>
      <c r="C239" s="292">
        <v>1</v>
      </c>
      <c r="D239" s="171">
        <f>IF(Limits!$P$11=TRUE,1,0)</f>
        <v>0</v>
      </c>
      <c r="E239" s="172">
        <f>IF(Daten!$P239+Daten!$Q239+Daten!$S239=3,1,0)</f>
        <v>0</v>
      </c>
      <c r="F239" s="173">
        <f ca="1">IF(AND(Limits!$Q$21=TRUE,Daten!O239=1)=TRUE,1,0)</f>
        <v>1</v>
      </c>
      <c r="G239" s="174">
        <f ca="1">IF(AND(Limits!$Q$25=TRUE,Daten!N239=1)=TRUE,1,0)</f>
        <v>0</v>
      </c>
      <c r="H239" s="174">
        <f ca="1">IF(AND(Limits!$Q$24=TRUE,Daten!M239=1)=TRUE,1,0)</f>
        <v>0</v>
      </c>
      <c r="I239" s="174">
        <f ca="1">IF(AND(Limits!$Q$23=TRUE,Daten!L239=1)=TRUE,1,0)</f>
        <v>0</v>
      </c>
      <c r="J239" s="174">
        <f ca="1">IF(AND(Limits!$Q$22=TRUE,Daten!K239=1)=TRUE,1,0)</f>
        <v>0</v>
      </c>
      <c r="K239" s="188">
        <f ca="1">IF(Daten!$V239=13,1,0)</f>
        <v>0</v>
      </c>
      <c r="L239" s="189">
        <f ca="1">IF(Daten!$V239&lt;&gt;Daten!$W239,1,IF(Daten!$V239=14,1,0))</f>
        <v>0</v>
      </c>
      <c r="M239" s="189">
        <f ca="1">IF(Daten!$V239&lt;&gt;Daten!$W239,1,IF(Daten!$V239=16,1,0))</f>
        <v>0</v>
      </c>
      <c r="N239" s="189">
        <f ca="1">IF(Daten!$W239=17,1,0)</f>
        <v>0</v>
      </c>
      <c r="O239" s="190">
        <f ca="1">IF(Daten!$X239=Sprache!$A$70,1,0)</f>
        <v>1</v>
      </c>
      <c r="P239" s="198">
        <f>IF(AND(Daten!$AQ239&lt;=KINVARO!$AW$3,Daten!$AR239&gt;=KINVARO!$AW$3)=TRUE,1,0)</f>
        <v>1</v>
      </c>
      <c r="Q239" s="199">
        <f>IF(AND(Daten!$AA239&lt;=KINVARO!$AW$4,Daten!$AB239&gt;=KINVARO!$AW$4)=TRUE,1,0)</f>
        <v>0</v>
      </c>
      <c r="R239" s="199"/>
      <c r="S239" s="199">
        <f>IF(AND(Daten!$AD239&lt;=Limits!$I$70,Daten!$AE239&gt;=Limits!$I$70)=TRUE,1,0)</f>
        <v>0</v>
      </c>
      <c r="T239" s="200">
        <f ca="1">IF(Daten!$Y239=Sprache!$A$135,1,0)</f>
        <v>0</v>
      </c>
      <c r="U239" s="201" t="str">
        <f ca="1">Sprache!$A$63</f>
        <v>T-57 Поворотный подъемник</v>
      </c>
      <c r="V239" s="202" t="str">
        <f ca="1">Sprache!$A$74</f>
        <v>var</v>
      </c>
      <c r="W239" s="200" t="str">
        <f ca="1">Sprache!$A$74</f>
        <v>var</v>
      </c>
      <c r="X239" s="203" t="str">
        <f ca="1">Sprache!$A$70</f>
        <v>соединение с древесиной</v>
      </c>
      <c r="Y239" s="187" t="str">
        <f ca="1">Sprache!$A$136</f>
        <v>nein</v>
      </c>
      <c r="Z239" s="203" t="str">
        <f ca="1">Sprache!$A$79</f>
        <v>Створка</v>
      </c>
      <c r="AA239" s="203">
        <v>500</v>
      </c>
      <c r="AB239" s="201">
        <v>549</v>
      </c>
      <c r="AC239" s="203">
        <v>19</v>
      </c>
      <c r="AD239" s="204">
        <v>1.7</v>
      </c>
      <c r="AE239" s="205">
        <v>2.9</v>
      </c>
      <c r="AF239" s="266" t="str">
        <f>MID(Tabelle2[[#This Row],[bnr full]],1,4)</f>
        <v>F151</v>
      </c>
      <c r="AG239" s="267" t="str">
        <f>MID(Tabelle2[[#This Row],[bnr full]],5,3)</f>
        <v>145</v>
      </c>
      <c r="AH239" s="268" t="str">
        <f>MID(Tabelle2[[#This Row],[bnr full]],8,3)</f>
        <v>224</v>
      </c>
      <c r="AI239" s="267" t="str">
        <f>MID(Tabelle2[[#This Row],[bnr full]],11,3)</f>
        <v>201</v>
      </c>
      <c r="AJ239" s="253" t="str">
        <f>MID(Tabelle2[[#This Row],[bnr full]],11,3)</f>
        <v>201</v>
      </c>
      <c r="AK239" s="206" t="s">
        <v>789</v>
      </c>
      <c r="AL239" s="201" t="str">
        <f ca="1">Sprache!$A$111</f>
        <v>Комплект (Л + П)</v>
      </c>
      <c r="AM239" s="203" t="s">
        <v>25</v>
      </c>
      <c r="AN239" s="203" t="str">
        <f ca="1">Sprache!$A$132</f>
        <v>регулируется</v>
      </c>
      <c r="AO239" s="187" t="s">
        <v>25</v>
      </c>
      <c r="AP239" s="187" t="s">
        <v>25</v>
      </c>
      <c r="AQ239" s="203">
        <f>Limits!$K$9</f>
        <v>200</v>
      </c>
      <c r="AR239" s="201">
        <v>1200</v>
      </c>
      <c r="AS239" s="187"/>
      <c r="AT239" s="124"/>
      <c r="AU239"/>
      <c r="AV239"/>
      <c r="AY239"/>
      <c r="AZ239"/>
      <c r="BA239"/>
      <c r="BB239"/>
      <c r="BC239"/>
    </row>
    <row r="240" spans="1:55" hidden="1" x14ac:dyDescent="0.25">
      <c r="A240" s="12" t="str">
        <f ca="1">IF(F240+G240+H240+I240+J240+D240+E240=3,IF(Tabelle2[[#This Row],[Kappe Weiß]]=Limits!$R$29,1,""),"")</f>
        <v/>
      </c>
      <c r="B240" s="12" t="str">
        <f ca="1">IF(G240+H240+I240+J240+E240+F240=2,IF(Tabelle2[[#This Row],[Kappe Weiß]]=Limits!$R$29,1,""),"")</f>
        <v/>
      </c>
      <c r="C240" s="291">
        <v>1</v>
      </c>
      <c r="D240" s="171">
        <f>IF(Limits!$P$11=TRUE,1,0)</f>
        <v>0</v>
      </c>
      <c r="E240" s="172">
        <f>IF(Daten!$P240+Daten!$Q240+Daten!$S240=3,1,0)</f>
        <v>0</v>
      </c>
      <c r="F240" s="173">
        <f ca="1">IF(AND(Limits!$Q$21=TRUE,Daten!O240=1)=TRUE,1,0)</f>
        <v>0</v>
      </c>
      <c r="G240" s="174">
        <f>IF(AND(Limits!$Q$25=TRUE,Daten!N240=1)=TRUE,1,0)</f>
        <v>0</v>
      </c>
      <c r="H240" s="174">
        <f>IF(AND(Limits!$Q$24=TRUE,Daten!M240=1)=TRUE,1,0)</f>
        <v>0</v>
      </c>
      <c r="I240" s="174">
        <f>IF(AND(Limits!$Q$23=TRUE,Daten!L240=1)=TRUE,1,0)</f>
        <v>0</v>
      </c>
      <c r="J240" s="174">
        <f>IF(AND(Limits!$Q$22=TRUE,Daten!K240=1)=TRUE,1,0)</f>
        <v>0</v>
      </c>
      <c r="K240" s="188">
        <f>IF(Daten!$V240=13,1,0)</f>
        <v>0</v>
      </c>
      <c r="L240" s="189">
        <f>IF(Daten!$V240&lt;&gt;Daten!$W240,1,IF(Daten!$V240=14,1,0))</f>
        <v>1</v>
      </c>
      <c r="M240" s="189">
        <f>IF(Daten!$V240&lt;&gt;Daten!$W240,1,IF(Daten!$V240=16,1,0))</f>
        <v>0</v>
      </c>
      <c r="N240" s="189">
        <f>IF(Daten!$W240=17,1,0)</f>
        <v>0</v>
      </c>
      <c r="O240" s="190">
        <f ca="1">IF(Daten!$X240=Sprache!$A$70,1,0)</f>
        <v>0</v>
      </c>
      <c r="P240" s="191">
        <f>IF(AND(Daten!$AQ240&lt;=KINVARO!$AW$3,Daten!$AR240&gt;=KINVARO!$AW$3)=TRUE,1,0)</f>
        <v>1</v>
      </c>
      <c r="Q240" s="192">
        <f>IF(AND(Daten!$AA240&lt;=KINVARO!$AW$4,Daten!$AB240&gt;=KINVARO!$AW$4)=TRUE,1,0)</f>
        <v>0</v>
      </c>
      <c r="R240" s="192"/>
      <c r="S240" s="192">
        <f>IF(AND(Daten!$AD240&lt;=Limits!$I$70,Daten!$AE240&gt;=Limits!$I$70)=TRUE,1,0)</f>
        <v>0</v>
      </c>
      <c r="T240" s="193">
        <f ca="1">IF(Daten!$Y240=Sprache!$A$135,1,0)</f>
        <v>0</v>
      </c>
      <c r="U240" s="124" t="str">
        <f ca="1">Sprache!$A$63</f>
        <v>T-57 Поворотный подъемник</v>
      </c>
      <c r="V240" s="194">
        <v>14</v>
      </c>
      <c r="W240" s="193">
        <v>14</v>
      </c>
      <c r="X240" s="187" t="str">
        <f ca="1">Sprache!$A$141</f>
        <v>Alu</v>
      </c>
      <c r="Y240" s="187" t="str">
        <f ca="1">Sprache!$A$136</f>
        <v>nein</v>
      </c>
      <c r="Z240" s="187" t="str">
        <f ca="1">Sprache!$A$79</f>
        <v>Створка</v>
      </c>
      <c r="AA240" s="187">
        <v>500</v>
      </c>
      <c r="AB240" s="124">
        <v>549</v>
      </c>
      <c r="AC240" s="187">
        <v>19</v>
      </c>
      <c r="AD240" s="195">
        <v>1.7</v>
      </c>
      <c r="AE240" s="196">
        <v>2.9</v>
      </c>
      <c r="AF240" s="263" t="str">
        <f>MID(Tabelle2[[#This Row],[bnr full]],1,4)</f>
        <v>F151</v>
      </c>
      <c r="AG240" s="264" t="str">
        <f>MID(Tabelle2[[#This Row],[bnr full]],5,3)</f>
        <v>145</v>
      </c>
      <c r="AH240" s="265" t="str">
        <f>MID(Tabelle2[[#This Row],[bnr full]],8,3)</f>
        <v>222</v>
      </c>
      <c r="AI240" s="264" t="str">
        <f>MID(Tabelle2[[#This Row],[bnr full]],11,3)</f>
        <v>201</v>
      </c>
      <c r="AJ240" s="252" t="str">
        <f>MID(Tabelle2[[#This Row],[bnr full]],11,3)</f>
        <v>201</v>
      </c>
      <c r="AK240" s="197" t="s">
        <v>790</v>
      </c>
      <c r="AL240" s="124" t="str">
        <f ca="1">Sprache!$A$111</f>
        <v>Комплект (Л + П)</v>
      </c>
      <c r="AM240" s="187" t="s">
        <v>25</v>
      </c>
      <c r="AN240" s="187" t="str">
        <f ca="1">Sprache!$A$132</f>
        <v>регулируется</v>
      </c>
      <c r="AO240" s="187" t="s">
        <v>25</v>
      </c>
      <c r="AP240" s="187" t="s">
        <v>25</v>
      </c>
      <c r="AQ240" s="187">
        <f>Limits!$K$9</f>
        <v>200</v>
      </c>
      <c r="AR240" s="124">
        <v>1200</v>
      </c>
      <c r="AS240" s="187"/>
      <c r="AT240" s="124"/>
      <c r="AU240"/>
      <c r="AV240"/>
      <c r="AY240"/>
      <c r="AZ240"/>
      <c r="BA240"/>
      <c r="BB240"/>
      <c r="BC240"/>
    </row>
    <row r="241" spans="1:55" hidden="1" x14ac:dyDescent="0.25">
      <c r="A241" s="12" t="str">
        <f ca="1">IF(F241+G241+H241+I241+J241+D241+E241=3,IF(Tabelle2[[#This Row],[Kappe Weiß]]=Limits!$R$29,1,""),"")</f>
        <v/>
      </c>
      <c r="B241" s="12" t="str">
        <f ca="1">IF(G241+H241+I241+J241+E241+F241=2,IF(Tabelle2[[#This Row],[Kappe Weiß]]=Limits!$R$29,1,""),"")</f>
        <v/>
      </c>
      <c r="C241" s="291">
        <v>1</v>
      </c>
      <c r="D241" s="171">
        <f>IF(Limits!$P$11=TRUE,1,0)</f>
        <v>0</v>
      </c>
      <c r="E241" s="172">
        <f>IF(Daten!$P241+Daten!$Q241+Daten!$S241=3,1,0)</f>
        <v>0</v>
      </c>
      <c r="F241" s="173">
        <f ca="1">IF(AND(Limits!$Q$21=TRUE,Daten!O241=1)=TRUE,1,0)</f>
        <v>0</v>
      </c>
      <c r="G241" s="174">
        <f>IF(AND(Limits!$Q$25=TRUE,Daten!N241=1)=TRUE,1,0)</f>
        <v>0</v>
      </c>
      <c r="H241" s="174">
        <f>IF(AND(Limits!$Q$24=TRUE,Daten!M241=1)=TRUE,1,0)</f>
        <v>0</v>
      </c>
      <c r="I241" s="174">
        <f>IF(AND(Limits!$Q$23=TRUE,Daten!L241=1)=TRUE,1,0)</f>
        <v>0</v>
      </c>
      <c r="J241" s="174">
        <f>IF(AND(Limits!$Q$22=TRUE,Daten!K241=1)=TRUE,1,0)</f>
        <v>0</v>
      </c>
      <c r="K241" s="188">
        <f>IF(Daten!$V241=13,1,0)</f>
        <v>0</v>
      </c>
      <c r="L241" s="189">
        <f>IF(Daten!$V241&lt;&gt;Daten!$W241,1,IF(Daten!$V241=14,1,0))</f>
        <v>0</v>
      </c>
      <c r="M241" s="189">
        <f>IF(Daten!$V241&lt;&gt;Daten!$W241,1,IF(Daten!$V241=16,1,0))</f>
        <v>1</v>
      </c>
      <c r="N241" s="189">
        <f>IF(Daten!$W241=17,1,0)</f>
        <v>0</v>
      </c>
      <c r="O241" s="190">
        <f ca="1">IF(Daten!$X241=Sprache!$A$70,1,0)</f>
        <v>0</v>
      </c>
      <c r="P241" s="191">
        <f>IF(AND(Daten!$AQ241&lt;=KINVARO!$AW$3,Daten!$AR241&gt;=KINVARO!$AW$3)=TRUE,1,0)</f>
        <v>1</v>
      </c>
      <c r="Q241" s="192">
        <f>IF(AND(Daten!$AA241&lt;=KINVARO!$AW$4,Daten!$AB241&gt;=KINVARO!$AW$4)=TRUE,1,0)</f>
        <v>0</v>
      </c>
      <c r="R241" s="192"/>
      <c r="S241" s="192">
        <f>IF(AND(Daten!$AD241&lt;=Limits!$I$70,Daten!$AE241&gt;=Limits!$I$70)=TRUE,1,0)</f>
        <v>0</v>
      </c>
      <c r="T241" s="193">
        <f ca="1">IF(Daten!$Y241=Sprache!$A$135,1,0)</f>
        <v>0</v>
      </c>
      <c r="U241" s="124" t="str">
        <f ca="1">Sprache!$A$63</f>
        <v>T-57 Поворотный подъемник</v>
      </c>
      <c r="V241" s="194">
        <v>16</v>
      </c>
      <c r="W241" s="193">
        <v>16</v>
      </c>
      <c r="X241" s="187" t="str">
        <f ca="1">Sprache!$A$141</f>
        <v>Alu</v>
      </c>
      <c r="Y241" s="187" t="str">
        <f ca="1">Sprache!$A$136</f>
        <v>nein</v>
      </c>
      <c r="Z241" s="187" t="str">
        <f ca="1">Sprache!$A$79</f>
        <v>Створка</v>
      </c>
      <c r="AA241" s="187">
        <v>500</v>
      </c>
      <c r="AB241" s="124">
        <v>549</v>
      </c>
      <c r="AC241" s="187">
        <v>19</v>
      </c>
      <c r="AD241" s="195">
        <v>1.7</v>
      </c>
      <c r="AE241" s="196">
        <v>2.9</v>
      </c>
      <c r="AF241" s="263" t="str">
        <f>MID(Tabelle2[[#This Row],[bnr full]],1,4)</f>
        <v>F151</v>
      </c>
      <c r="AG241" s="264" t="str">
        <f>MID(Tabelle2[[#This Row],[bnr full]],5,3)</f>
        <v>145</v>
      </c>
      <c r="AH241" s="265" t="str">
        <f>MID(Tabelle2[[#This Row],[bnr full]],8,3)</f>
        <v>223</v>
      </c>
      <c r="AI241" s="264" t="str">
        <f>MID(Tabelle2[[#This Row],[bnr full]],11,3)</f>
        <v>201</v>
      </c>
      <c r="AJ241" s="252" t="str">
        <f>MID(Tabelle2[[#This Row],[bnr full]],11,3)</f>
        <v>201</v>
      </c>
      <c r="AK241" s="197" t="s">
        <v>791</v>
      </c>
      <c r="AL241" s="124" t="str">
        <f ca="1">Sprache!$A$111</f>
        <v>Комплект (Л + П)</v>
      </c>
      <c r="AM241" s="187" t="s">
        <v>25</v>
      </c>
      <c r="AN241" s="187" t="str">
        <f ca="1">Sprache!$A$132</f>
        <v>регулируется</v>
      </c>
      <c r="AO241" s="187" t="s">
        <v>25</v>
      </c>
      <c r="AP241" s="187" t="s">
        <v>25</v>
      </c>
      <c r="AQ241" s="187">
        <f>Limits!$K$9</f>
        <v>200</v>
      </c>
      <c r="AR241" s="124">
        <v>1200</v>
      </c>
      <c r="AS241" s="187"/>
      <c r="AT241" s="124"/>
      <c r="AU241"/>
      <c r="AV241"/>
      <c r="AY241"/>
      <c r="AZ241"/>
      <c r="BA241"/>
      <c r="BB241"/>
      <c r="BC241"/>
    </row>
    <row r="242" spans="1:55" hidden="1" x14ac:dyDescent="0.25">
      <c r="A242" s="12" t="str">
        <f ca="1">IF(F242+G242+H242+I242+J242+D242+E242=3,IF(Tabelle2[[#This Row],[Kappe Weiß]]=Limits!$R$29,1,""),"")</f>
        <v/>
      </c>
      <c r="B242" s="12" t="str">
        <f ca="1">IF(G242+H242+I242+J242+E242+F242=2,IF(Tabelle2[[#This Row],[Kappe Weiß]]=Limits!$R$29,1,""),"")</f>
        <v/>
      </c>
      <c r="C242" s="292">
        <v>1</v>
      </c>
      <c r="D242" s="171">
        <f>IF(Limits!$P$11=TRUE,1,0)</f>
        <v>0</v>
      </c>
      <c r="E242" s="172">
        <f>IF(Daten!$P242+Daten!$Q242+Daten!$S242=3,1,0)</f>
        <v>0</v>
      </c>
      <c r="F242" s="173">
        <f ca="1">IF(AND(Limits!$Q$21=TRUE,Daten!O242=1)=TRUE,1,0)</f>
        <v>1</v>
      </c>
      <c r="G242" s="174">
        <f ca="1">IF(AND(Limits!$Q$25=TRUE,Daten!N242=1)=TRUE,1,0)</f>
        <v>0</v>
      </c>
      <c r="H242" s="174">
        <f ca="1">IF(AND(Limits!$Q$24=TRUE,Daten!M242=1)=TRUE,1,0)</f>
        <v>0</v>
      </c>
      <c r="I242" s="174">
        <f ca="1">IF(AND(Limits!$Q$23=TRUE,Daten!L242=1)=TRUE,1,0)</f>
        <v>0</v>
      </c>
      <c r="J242" s="174">
        <f ca="1">IF(AND(Limits!$Q$22=TRUE,Daten!K242=1)=TRUE,1,0)</f>
        <v>0</v>
      </c>
      <c r="K242" s="188">
        <f ca="1">IF(Daten!$V242=13,1,0)</f>
        <v>0</v>
      </c>
      <c r="L242" s="189">
        <f ca="1">IF(Daten!$V242&lt;&gt;Daten!$W242,1,IF(Daten!$V242=14,1,0))</f>
        <v>0</v>
      </c>
      <c r="M242" s="189">
        <f ca="1">IF(Daten!$V242&lt;&gt;Daten!$W242,1,IF(Daten!$V242=16,1,0))</f>
        <v>0</v>
      </c>
      <c r="N242" s="189">
        <f ca="1">IF(Daten!$W242=17,1,0)</f>
        <v>0</v>
      </c>
      <c r="O242" s="190">
        <f ca="1">IF(Daten!$X242=Sprache!$A$70,1,0)</f>
        <v>1</v>
      </c>
      <c r="P242" s="198">
        <f>IF(AND(Daten!$AQ242&lt;=KINVARO!$AW$3,Daten!$AR242&gt;=KINVARO!$AW$3)=TRUE,1,0)</f>
        <v>1</v>
      </c>
      <c r="Q242" s="199">
        <f>IF(AND(Daten!$AA242&lt;=KINVARO!$AW$4,Daten!$AB242&gt;=KINVARO!$AW$4)=TRUE,1,0)</f>
        <v>0</v>
      </c>
      <c r="R242" s="199"/>
      <c r="S242" s="199">
        <f>IF(AND(Daten!$AD242&lt;=Limits!$I$70,Daten!$AE242&gt;=Limits!$I$70)=TRUE,1,0)</f>
        <v>0</v>
      </c>
      <c r="T242" s="200">
        <f ca="1">IF(Daten!$Y242=Sprache!$A$135,1,0)</f>
        <v>0</v>
      </c>
      <c r="U242" s="201" t="str">
        <f ca="1">Sprache!$A$63</f>
        <v>T-57 Поворотный подъемник</v>
      </c>
      <c r="V242" s="202" t="str">
        <f ca="1">Sprache!$A$74</f>
        <v>var</v>
      </c>
      <c r="W242" s="200" t="str">
        <f ca="1">Sprache!$A$74</f>
        <v>var</v>
      </c>
      <c r="X242" s="203" t="str">
        <f ca="1">Sprache!$A$70</f>
        <v>соединение с древесиной</v>
      </c>
      <c r="Y242" s="187" t="str">
        <f ca="1">Sprache!$A$136</f>
        <v>nein</v>
      </c>
      <c r="Z242" s="203" t="str">
        <f ca="1">Sprache!$A$79</f>
        <v>Створка</v>
      </c>
      <c r="AA242" s="203">
        <v>550</v>
      </c>
      <c r="AB242" s="201">
        <v>599</v>
      </c>
      <c r="AC242" s="203">
        <v>19</v>
      </c>
      <c r="AD242" s="204">
        <v>1.9</v>
      </c>
      <c r="AE242" s="205">
        <v>2.7</v>
      </c>
      <c r="AF242" s="266" t="str">
        <f>MID(Tabelle2[[#This Row],[bnr full]],1,4)</f>
        <v>F151</v>
      </c>
      <c r="AG242" s="267" t="str">
        <f>MID(Tabelle2[[#This Row],[bnr full]],5,3)</f>
        <v>145</v>
      </c>
      <c r="AH242" s="268" t="str">
        <f>MID(Tabelle2[[#This Row],[bnr full]],8,3)</f>
        <v>224</v>
      </c>
      <c r="AI242" s="267" t="str">
        <f>MID(Tabelle2[[#This Row],[bnr full]],11,3)</f>
        <v>201</v>
      </c>
      <c r="AJ242" s="253" t="str">
        <f>MID(Tabelle2[[#This Row],[bnr full]],11,3)</f>
        <v>201</v>
      </c>
      <c r="AK242" s="206" t="s">
        <v>789</v>
      </c>
      <c r="AL242" s="201" t="str">
        <f ca="1">Sprache!$A$111</f>
        <v>Комплект (Л + П)</v>
      </c>
      <c r="AM242" s="203" t="s">
        <v>25</v>
      </c>
      <c r="AN242" s="203" t="str">
        <f ca="1">Sprache!$A$132</f>
        <v>регулируется</v>
      </c>
      <c r="AO242" s="187" t="s">
        <v>25</v>
      </c>
      <c r="AP242" s="187" t="s">
        <v>25</v>
      </c>
      <c r="AQ242" s="203">
        <f>Limits!$K$9</f>
        <v>200</v>
      </c>
      <c r="AR242" s="201">
        <v>1200</v>
      </c>
      <c r="AS242" s="187"/>
      <c r="AT242" s="124"/>
      <c r="AU242"/>
      <c r="AV242"/>
      <c r="AY242"/>
      <c r="AZ242"/>
      <c r="BA242"/>
      <c r="BB242"/>
      <c r="BC242"/>
    </row>
    <row r="243" spans="1:55" hidden="1" x14ac:dyDescent="0.25">
      <c r="A243" s="12" t="str">
        <f ca="1">IF(F243+G243+H243+I243+J243+D243+E243=3,IF(Tabelle2[[#This Row],[Kappe Weiß]]=Limits!$R$29,1,""),"")</f>
        <v/>
      </c>
      <c r="B243" s="12" t="str">
        <f ca="1">IF(G243+H243+I243+J243+E243+F243=2,IF(Tabelle2[[#This Row],[Kappe Weiß]]=Limits!$R$29,1,""),"")</f>
        <v/>
      </c>
      <c r="C243" s="291">
        <v>1</v>
      </c>
      <c r="D243" s="171">
        <f>IF(Limits!$P$11=TRUE,1,0)</f>
        <v>0</v>
      </c>
      <c r="E243" s="172">
        <f>IF(Daten!$P243+Daten!$Q243+Daten!$S243=3,1,0)</f>
        <v>0</v>
      </c>
      <c r="F243" s="173">
        <f ca="1">IF(AND(Limits!$Q$21=TRUE,Daten!O243=1)=TRUE,1,0)</f>
        <v>0</v>
      </c>
      <c r="G243" s="174">
        <f>IF(AND(Limits!$Q$25=TRUE,Daten!N243=1)=TRUE,1,0)</f>
        <v>0</v>
      </c>
      <c r="H243" s="174">
        <f>IF(AND(Limits!$Q$24=TRUE,Daten!M243=1)=TRUE,1,0)</f>
        <v>0</v>
      </c>
      <c r="I243" s="174">
        <f>IF(AND(Limits!$Q$23=TRUE,Daten!L243=1)=TRUE,1,0)</f>
        <v>0</v>
      </c>
      <c r="J243" s="174">
        <f>IF(AND(Limits!$Q$22=TRUE,Daten!K243=1)=TRUE,1,0)</f>
        <v>0</v>
      </c>
      <c r="K243" s="188">
        <f>IF(Daten!$V243=13,1,0)</f>
        <v>0</v>
      </c>
      <c r="L243" s="189">
        <f>IF(Daten!$V243&lt;&gt;Daten!$W243,1,IF(Daten!$V243=14,1,0))</f>
        <v>1</v>
      </c>
      <c r="M243" s="189">
        <f>IF(Daten!$V243&lt;&gt;Daten!$W243,1,IF(Daten!$V243=16,1,0))</f>
        <v>0</v>
      </c>
      <c r="N243" s="189">
        <f>IF(Daten!$W243=17,1,0)</f>
        <v>0</v>
      </c>
      <c r="O243" s="190">
        <f ca="1">IF(Daten!$X243=Sprache!$A$70,1,0)</f>
        <v>0</v>
      </c>
      <c r="P243" s="191">
        <f>IF(AND(Daten!$AQ243&lt;=KINVARO!$AW$3,Daten!$AR243&gt;=KINVARO!$AW$3)=TRUE,1,0)</f>
        <v>1</v>
      </c>
      <c r="Q243" s="192">
        <f>IF(AND(Daten!$AA243&lt;=KINVARO!$AW$4,Daten!$AB243&gt;=KINVARO!$AW$4)=TRUE,1,0)</f>
        <v>0</v>
      </c>
      <c r="R243" s="192"/>
      <c r="S243" s="192">
        <f>IF(AND(Daten!$AD243&lt;=Limits!$I$70,Daten!$AE243&gt;=Limits!$I$70)=TRUE,1,0)</f>
        <v>0</v>
      </c>
      <c r="T243" s="193">
        <f ca="1">IF(Daten!$Y243=Sprache!$A$135,1,0)</f>
        <v>0</v>
      </c>
      <c r="U243" s="124" t="str">
        <f ca="1">Sprache!$A$63</f>
        <v>T-57 Поворотный подъемник</v>
      </c>
      <c r="V243" s="194">
        <v>14</v>
      </c>
      <c r="W243" s="193">
        <v>14</v>
      </c>
      <c r="X243" s="187" t="str">
        <f ca="1">Sprache!$A$141</f>
        <v>Alu</v>
      </c>
      <c r="Y243" s="187" t="str">
        <f ca="1">Sprache!$A$136</f>
        <v>nein</v>
      </c>
      <c r="Z243" s="187" t="str">
        <f ca="1">Sprache!$A$79</f>
        <v>Створка</v>
      </c>
      <c r="AA243" s="187">
        <v>550</v>
      </c>
      <c r="AB243" s="124">
        <v>599</v>
      </c>
      <c r="AC243" s="187">
        <v>19</v>
      </c>
      <c r="AD243" s="195">
        <v>1.9</v>
      </c>
      <c r="AE243" s="196">
        <v>2.7</v>
      </c>
      <c r="AF243" s="263" t="str">
        <f>MID(Tabelle2[[#This Row],[bnr full]],1,4)</f>
        <v>F151</v>
      </c>
      <c r="AG243" s="264" t="str">
        <f>MID(Tabelle2[[#This Row],[bnr full]],5,3)</f>
        <v>145</v>
      </c>
      <c r="AH243" s="265" t="str">
        <f>MID(Tabelle2[[#This Row],[bnr full]],8,3)</f>
        <v>222</v>
      </c>
      <c r="AI243" s="264" t="str">
        <f>MID(Tabelle2[[#This Row],[bnr full]],11,3)</f>
        <v>201</v>
      </c>
      <c r="AJ243" s="252" t="str">
        <f>MID(Tabelle2[[#This Row],[bnr full]],11,3)</f>
        <v>201</v>
      </c>
      <c r="AK243" s="197" t="s">
        <v>790</v>
      </c>
      <c r="AL243" s="124" t="str">
        <f ca="1">Sprache!$A$111</f>
        <v>Комплект (Л + П)</v>
      </c>
      <c r="AM243" s="187" t="s">
        <v>25</v>
      </c>
      <c r="AN243" s="187" t="str">
        <f ca="1">Sprache!$A$132</f>
        <v>регулируется</v>
      </c>
      <c r="AO243" s="187" t="s">
        <v>25</v>
      </c>
      <c r="AP243" s="187" t="s">
        <v>25</v>
      </c>
      <c r="AQ243" s="187">
        <f>Limits!$K$9</f>
        <v>200</v>
      </c>
      <c r="AR243" s="124">
        <v>1200</v>
      </c>
      <c r="AS243" s="187"/>
      <c r="AT243" s="124"/>
      <c r="AU243"/>
      <c r="AV243"/>
      <c r="AY243"/>
      <c r="AZ243"/>
      <c r="BA243"/>
      <c r="BB243"/>
      <c r="BC243"/>
    </row>
    <row r="244" spans="1:55" hidden="1" x14ac:dyDescent="0.25">
      <c r="A244" s="12" t="str">
        <f ca="1">IF(F244+G244+H244+I244+J244+D244+E244=3,IF(Tabelle2[[#This Row],[Kappe Weiß]]=Limits!$R$29,1,""),"")</f>
        <v/>
      </c>
      <c r="B244" s="12" t="str">
        <f ca="1">IF(G244+H244+I244+J244+E244+F244=2,IF(Tabelle2[[#This Row],[Kappe Weiß]]=Limits!$R$29,1,""),"")</f>
        <v/>
      </c>
      <c r="C244" s="291">
        <v>1</v>
      </c>
      <c r="D244" s="171">
        <f>IF(Limits!$P$11=TRUE,1,0)</f>
        <v>0</v>
      </c>
      <c r="E244" s="172">
        <f>IF(Daten!$P244+Daten!$Q244+Daten!$S244=3,1,0)</f>
        <v>0</v>
      </c>
      <c r="F244" s="173">
        <f ca="1">IF(AND(Limits!$Q$21=TRUE,Daten!O244=1)=TRUE,1,0)</f>
        <v>0</v>
      </c>
      <c r="G244" s="174">
        <f>IF(AND(Limits!$Q$25=TRUE,Daten!N244=1)=TRUE,1,0)</f>
        <v>0</v>
      </c>
      <c r="H244" s="174">
        <f>IF(AND(Limits!$Q$24=TRUE,Daten!M244=1)=TRUE,1,0)</f>
        <v>0</v>
      </c>
      <c r="I244" s="174">
        <f>IF(AND(Limits!$Q$23=TRUE,Daten!L244=1)=TRUE,1,0)</f>
        <v>0</v>
      </c>
      <c r="J244" s="174">
        <f>IF(AND(Limits!$Q$22=TRUE,Daten!K244=1)=TRUE,1,0)</f>
        <v>0</v>
      </c>
      <c r="K244" s="188">
        <f>IF(Daten!$V244=13,1,0)</f>
        <v>0</v>
      </c>
      <c r="L244" s="189">
        <f>IF(Daten!$V244&lt;&gt;Daten!$W244,1,IF(Daten!$V244=14,1,0))</f>
        <v>0</v>
      </c>
      <c r="M244" s="189">
        <f>IF(Daten!$V244&lt;&gt;Daten!$W244,1,IF(Daten!$V244=16,1,0))</f>
        <v>1</v>
      </c>
      <c r="N244" s="189">
        <f>IF(Daten!$W244=17,1,0)</f>
        <v>0</v>
      </c>
      <c r="O244" s="190">
        <f ca="1">IF(Daten!$X244=Sprache!$A$70,1,0)</f>
        <v>0</v>
      </c>
      <c r="P244" s="191">
        <f>IF(AND(Daten!$AQ244&lt;=KINVARO!$AW$3,Daten!$AR244&gt;=KINVARO!$AW$3)=TRUE,1,0)</f>
        <v>1</v>
      </c>
      <c r="Q244" s="192">
        <f>IF(AND(Daten!$AA244&lt;=KINVARO!$AW$4,Daten!$AB244&gt;=KINVARO!$AW$4)=TRUE,1,0)</f>
        <v>0</v>
      </c>
      <c r="R244" s="192"/>
      <c r="S244" s="192">
        <f>IF(AND(Daten!$AD244&lt;=Limits!$I$70,Daten!$AE244&gt;=Limits!$I$70)=TRUE,1,0)</f>
        <v>0</v>
      </c>
      <c r="T244" s="193">
        <f ca="1">IF(Daten!$Y244=Sprache!$A$135,1,0)</f>
        <v>0</v>
      </c>
      <c r="U244" s="124" t="str">
        <f ca="1">Sprache!$A$63</f>
        <v>T-57 Поворотный подъемник</v>
      </c>
      <c r="V244" s="194">
        <v>16</v>
      </c>
      <c r="W244" s="193">
        <v>16</v>
      </c>
      <c r="X244" s="187" t="str">
        <f ca="1">Sprache!$A$141</f>
        <v>Alu</v>
      </c>
      <c r="Y244" s="187" t="str">
        <f ca="1">Sprache!$A$136</f>
        <v>nein</v>
      </c>
      <c r="Z244" s="187" t="str">
        <f ca="1">Sprache!$A$79</f>
        <v>Створка</v>
      </c>
      <c r="AA244" s="187">
        <v>550</v>
      </c>
      <c r="AB244" s="124">
        <v>599</v>
      </c>
      <c r="AC244" s="187">
        <v>19</v>
      </c>
      <c r="AD244" s="195">
        <v>1.9</v>
      </c>
      <c r="AE244" s="196">
        <v>2.7</v>
      </c>
      <c r="AF244" s="263" t="str">
        <f>MID(Tabelle2[[#This Row],[bnr full]],1,4)</f>
        <v>F151</v>
      </c>
      <c r="AG244" s="264" t="str">
        <f>MID(Tabelle2[[#This Row],[bnr full]],5,3)</f>
        <v>145</v>
      </c>
      <c r="AH244" s="265" t="str">
        <f>MID(Tabelle2[[#This Row],[bnr full]],8,3)</f>
        <v>223</v>
      </c>
      <c r="AI244" s="264" t="str">
        <f>MID(Tabelle2[[#This Row],[bnr full]],11,3)</f>
        <v>201</v>
      </c>
      <c r="AJ244" s="252" t="str">
        <f>MID(Tabelle2[[#This Row],[bnr full]],11,3)</f>
        <v>201</v>
      </c>
      <c r="AK244" s="197" t="s">
        <v>791</v>
      </c>
      <c r="AL244" s="124" t="str">
        <f ca="1">Sprache!$A$111</f>
        <v>Комплект (Л + П)</v>
      </c>
      <c r="AM244" s="187" t="s">
        <v>25</v>
      </c>
      <c r="AN244" s="187" t="str">
        <f ca="1">Sprache!$A$132</f>
        <v>регулируется</v>
      </c>
      <c r="AO244" s="187" t="s">
        <v>25</v>
      </c>
      <c r="AP244" s="187" t="s">
        <v>25</v>
      </c>
      <c r="AQ244" s="187">
        <f>Limits!$K$9</f>
        <v>200</v>
      </c>
      <c r="AR244" s="124">
        <v>1200</v>
      </c>
      <c r="AS244" s="187"/>
      <c r="AT244" s="124"/>
      <c r="AU244"/>
      <c r="AV244"/>
      <c r="AY244"/>
      <c r="AZ244"/>
      <c r="BA244"/>
      <c r="BB244"/>
      <c r="BC244"/>
    </row>
    <row r="245" spans="1:55" hidden="1" x14ac:dyDescent="0.25">
      <c r="A245" s="12" t="str">
        <f ca="1">IF(F245+G245+H245+I245+J245+D245+E245=3,IF(Tabelle2[[#This Row],[Kappe Weiß]]=Limits!$R$29,1,""),"")</f>
        <v/>
      </c>
      <c r="B245" s="12" t="str">
        <f ca="1">IF(G245+H245+I245+J245+E245+F245=2,IF(Tabelle2[[#This Row],[Kappe Weiß]]=Limits!$R$29,1,""),"")</f>
        <v/>
      </c>
      <c r="C245" s="292">
        <v>1</v>
      </c>
      <c r="D245" s="171">
        <f>IF(Limits!$P$11=TRUE,1,0)</f>
        <v>0</v>
      </c>
      <c r="E245" s="172">
        <f>IF(Daten!$P245+Daten!$Q245+Daten!$S245=3,1,0)</f>
        <v>0</v>
      </c>
      <c r="F245" s="173">
        <f ca="1">IF(AND(Limits!$Q$21=TRUE,Daten!O245=1)=TRUE,1,0)</f>
        <v>1</v>
      </c>
      <c r="G245" s="174">
        <f ca="1">IF(AND(Limits!$Q$25=TRUE,Daten!N245=1)=TRUE,1,0)</f>
        <v>0</v>
      </c>
      <c r="H245" s="174">
        <f ca="1">IF(AND(Limits!$Q$24=TRUE,Daten!M245=1)=TRUE,1,0)</f>
        <v>0</v>
      </c>
      <c r="I245" s="174">
        <f ca="1">IF(AND(Limits!$Q$23=TRUE,Daten!L245=1)=TRUE,1,0)</f>
        <v>0</v>
      </c>
      <c r="J245" s="174">
        <f ca="1">IF(AND(Limits!$Q$22=TRUE,Daten!K245=1)=TRUE,1,0)</f>
        <v>0</v>
      </c>
      <c r="K245" s="188">
        <f ca="1">IF(Daten!$V245=13,1,0)</f>
        <v>0</v>
      </c>
      <c r="L245" s="189">
        <f ca="1">IF(Daten!$V245&lt;&gt;Daten!$W245,1,IF(Daten!$V245=14,1,0))</f>
        <v>0</v>
      </c>
      <c r="M245" s="189">
        <f ca="1">IF(Daten!$V245&lt;&gt;Daten!$W245,1,IF(Daten!$V245=16,1,0))</f>
        <v>0</v>
      </c>
      <c r="N245" s="189">
        <f ca="1">IF(Daten!$W245=17,1,0)</f>
        <v>0</v>
      </c>
      <c r="O245" s="190">
        <f ca="1">IF(Daten!$X245=Sprache!$A$70,1,0)</f>
        <v>1</v>
      </c>
      <c r="P245" s="198">
        <f>IF(AND(Daten!$AQ245&lt;=KINVARO!$AW$3,Daten!$AR245&gt;=KINVARO!$AW$3)=TRUE,1,0)</f>
        <v>1</v>
      </c>
      <c r="Q245" s="199">
        <f>IF(AND(Daten!$AA245&lt;=KINVARO!$AW$4,Daten!$AB245&gt;=KINVARO!$AW$4)=TRUE,1,0)</f>
        <v>0</v>
      </c>
      <c r="R245" s="199"/>
      <c r="S245" s="199">
        <f>IF(AND(Daten!$AD245&lt;=Limits!$I$70,Daten!$AE245&gt;=Limits!$I$70)=TRUE,1,0)</f>
        <v>0</v>
      </c>
      <c r="T245" s="200">
        <f ca="1">IF(Daten!$Y245=Sprache!$A$135,1,0)</f>
        <v>0</v>
      </c>
      <c r="U245" s="201" t="str">
        <f ca="1">Sprache!$A$63</f>
        <v>T-57 Поворотный подъемник</v>
      </c>
      <c r="V245" s="202" t="str">
        <f ca="1">Sprache!$A$74</f>
        <v>var</v>
      </c>
      <c r="W245" s="200" t="str">
        <f ca="1">Sprache!$A$74</f>
        <v>var</v>
      </c>
      <c r="X245" s="203" t="str">
        <f ca="1">Sprache!$A$70</f>
        <v>соединение с древесиной</v>
      </c>
      <c r="Y245" s="187" t="str">
        <f ca="1">Sprache!$A$136</f>
        <v>nein</v>
      </c>
      <c r="Z245" s="203" t="str">
        <f ca="1">Sprache!$A$79</f>
        <v>Створка</v>
      </c>
      <c r="AA245" s="203">
        <v>600</v>
      </c>
      <c r="AB245" s="201">
        <v>600</v>
      </c>
      <c r="AC245" s="203">
        <v>19</v>
      </c>
      <c r="AD245" s="204">
        <v>2.1</v>
      </c>
      <c r="AE245" s="205">
        <v>2.5</v>
      </c>
      <c r="AF245" s="266" t="str">
        <f>MID(Tabelle2[[#This Row],[bnr full]],1,4)</f>
        <v>F151</v>
      </c>
      <c r="AG245" s="267" t="str">
        <f>MID(Tabelle2[[#This Row],[bnr full]],5,3)</f>
        <v>145</v>
      </c>
      <c r="AH245" s="268" t="str">
        <f>MID(Tabelle2[[#This Row],[bnr full]],8,3)</f>
        <v>224</v>
      </c>
      <c r="AI245" s="267" t="str">
        <f>MID(Tabelle2[[#This Row],[bnr full]],11,3)</f>
        <v>201</v>
      </c>
      <c r="AJ245" s="253" t="str">
        <f>MID(Tabelle2[[#This Row],[bnr full]],11,3)</f>
        <v>201</v>
      </c>
      <c r="AK245" s="206" t="s">
        <v>789</v>
      </c>
      <c r="AL245" s="201" t="str">
        <f ca="1">Sprache!$A$111</f>
        <v>Комплект (Л + П)</v>
      </c>
      <c r="AM245" s="203" t="s">
        <v>25</v>
      </c>
      <c r="AN245" s="203" t="str">
        <f ca="1">Sprache!$A$132</f>
        <v>регулируется</v>
      </c>
      <c r="AO245" s="187" t="s">
        <v>25</v>
      </c>
      <c r="AP245" s="187" t="s">
        <v>25</v>
      </c>
      <c r="AQ245" s="203">
        <f>Limits!$K$9</f>
        <v>200</v>
      </c>
      <c r="AR245" s="201">
        <v>1200</v>
      </c>
      <c r="AS245" s="187"/>
      <c r="AT245" s="124"/>
      <c r="AU245"/>
      <c r="AV245"/>
      <c r="AY245"/>
      <c r="AZ245"/>
      <c r="BA245"/>
      <c r="BB245"/>
      <c r="BC245"/>
    </row>
    <row r="246" spans="1:55" hidden="1" x14ac:dyDescent="0.25">
      <c r="A246" s="12" t="str">
        <f ca="1">IF(F246+G246+H246+I246+J246+D246+E246=3,IF(Tabelle2[[#This Row],[Kappe Weiß]]=Limits!$R$29,1,""),"")</f>
        <v/>
      </c>
      <c r="B246" s="12" t="str">
        <f ca="1">IF(G246+H246+I246+J246+E246+F246=2,IF(Tabelle2[[#This Row],[Kappe Weiß]]=Limits!$R$29,1,""),"")</f>
        <v/>
      </c>
      <c r="C246" s="291">
        <v>1</v>
      </c>
      <c r="D246" s="171">
        <f>IF(Limits!$P$11=TRUE,1,0)</f>
        <v>0</v>
      </c>
      <c r="E246" s="172">
        <f>IF(Daten!$P246+Daten!$Q246+Daten!$S246=3,1,0)</f>
        <v>0</v>
      </c>
      <c r="F246" s="173">
        <f ca="1">IF(AND(Limits!$Q$21=TRUE,Daten!O246=1)=TRUE,1,0)</f>
        <v>0</v>
      </c>
      <c r="G246" s="174">
        <f>IF(AND(Limits!$Q$25=TRUE,Daten!N246=1)=TRUE,1,0)</f>
        <v>0</v>
      </c>
      <c r="H246" s="174">
        <f>IF(AND(Limits!$Q$24=TRUE,Daten!M246=1)=TRUE,1,0)</f>
        <v>0</v>
      </c>
      <c r="I246" s="174">
        <f>IF(AND(Limits!$Q$23=TRUE,Daten!L246=1)=TRUE,1,0)</f>
        <v>0</v>
      </c>
      <c r="J246" s="174">
        <f>IF(AND(Limits!$Q$22=TRUE,Daten!K246=1)=TRUE,1,0)</f>
        <v>0</v>
      </c>
      <c r="K246" s="188">
        <f>IF(Daten!$V246=13,1,0)</f>
        <v>0</v>
      </c>
      <c r="L246" s="189">
        <f>IF(Daten!$V246&lt;&gt;Daten!$W246,1,IF(Daten!$V246=14,1,0))</f>
        <v>1</v>
      </c>
      <c r="M246" s="189">
        <f>IF(Daten!$V246&lt;&gt;Daten!$W246,1,IF(Daten!$V246=16,1,0))</f>
        <v>0</v>
      </c>
      <c r="N246" s="189">
        <f>IF(Daten!$W246=17,1,0)</f>
        <v>0</v>
      </c>
      <c r="O246" s="190">
        <f ca="1">IF(Daten!$X246=Sprache!$A$70,1,0)</f>
        <v>0</v>
      </c>
      <c r="P246" s="191">
        <f>IF(AND(Daten!$AQ246&lt;=KINVARO!$AW$3,Daten!$AR246&gt;=KINVARO!$AW$3)=TRUE,1,0)</f>
        <v>1</v>
      </c>
      <c r="Q246" s="192">
        <f>IF(AND(Daten!$AA246&lt;=KINVARO!$AW$4,Daten!$AB246&gt;=KINVARO!$AW$4)=TRUE,1,0)</f>
        <v>0</v>
      </c>
      <c r="R246" s="192"/>
      <c r="S246" s="192">
        <f>IF(AND(Daten!$AD246&lt;=Limits!$I$70,Daten!$AE246&gt;=Limits!$I$70)=TRUE,1,0)</f>
        <v>0</v>
      </c>
      <c r="T246" s="193">
        <f ca="1">IF(Daten!$Y246=Sprache!$A$135,1,0)</f>
        <v>0</v>
      </c>
      <c r="U246" s="124" t="str">
        <f ca="1">Sprache!$A$63</f>
        <v>T-57 Поворотный подъемник</v>
      </c>
      <c r="V246" s="194">
        <v>14</v>
      </c>
      <c r="W246" s="193">
        <v>14</v>
      </c>
      <c r="X246" s="187" t="str">
        <f ca="1">Sprache!$A$141</f>
        <v>Alu</v>
      </c>
      <c r="Y246" s="187" t="str">
        <f ca="1">Sprache!$A$136</f>
        <v>nein</v>
      </c>
      <c r="Z246" s="187" t="str">
        <f ca="1">Sprache!$A$79</f>
        <v>Створка</v>
      </c>
      <c r="AA246" s="187">
        <v>600</v>
      </c>
      <c r="AB246" s="124">
        <v>600</v>
      </c>
      <c r="AC246" s="187">
        <v>19</v>
      </c>
      <c r="AD246" s="195">
        <v>2.1</v>
      </c>
      <c r="AE246" s="196">
        <v>2.5</v>
      </c>
      <c r="AF246" s="263" t="str">
        <f>MID(Tabelle2[[#This Row],[bnr full]],1,4)</f>
        <v>F151</v>
      </c>
      <c r="AG246" s="264" t="str">
        <f>MID(Tabelle2[[#This Row],[bnr full]],5,3)</f>
        <v>145</v>
      </c>
      <c r="AH246" s="265" t="str">
        <f>MID(Tabelle2[[#This Row],[bnr full]],8,3)</f>
        <v>222</v>
      </c>
      <c r="AI246" s="264" t="str">
        <f>MID(Tabelle2[[#This Row],[bnr full]],11,3)</f>
        <v>201</v>
      </c>
      <c r="AJ246" s="252" t="str">
        <f>MID(Tabelle2[[#This Row],[bnr full]],11,3)</f>
        <v>201</v>
      </c>
      <c r="AK246" s="197" t="s">
        <v>790</v>
      </c>
      <c r="AL246" s="124" t="str">
        <f ca="1">Sprache!$A$111</f>
        <v>Комплект (Л + П)</v>
      </c>
      <c r="AM246" s="187" t="s">
        <v>25</v>
      </c>
      <c r="AN246" s="187" t="str">
        <f ca="1">Sprache!$A$132</f>
        <v>регулируется</v>
      </c>
      <c r="AO246" s="187" t="s">
        <v>25</v>
      </c>
      <c r="AP246" s="187" t="s">
        <v>25</v>
      </c>
      <c r="AQ246" s="187">
        <f>Limits!$K$9</f>
        <v>200</v>
      </c>
      <c r="AR246" s="124">
        <v>1200</v>
      </c>
      <c r="AS246" s="187"/>
      <c r="AT246" s="124"/>
      <c r="AU246"/>
      <c r="AV246"/>
      <c r="AY246"/>
      <c r="AZ246"/>
      <c r="BA246"/>
      <c r="BB246"/>
      <c r="BC246"/>
    </row>
    <row r="247" spans="1:55" s="5" customFormat="1" hidden="1" x14ac:dyDescent="0.25">
      <c r="A247" s="12" t="str">
        <f ca="1">IF(F247+G247+H247+I247+J247+D247+E247=3,IF(Tabelle2[[#This Row],[Kappe Weiß]]=Limits!$R$29,1,""),"")</f>
        <v/>
      </c>
      <c r="B247" s="12" t="str">
        <f ca="1">IF(G247+H247+I247+J247+E247+F247=2,IF(Tabelle2[[#This Row],[Kappe Weiß]]=Limits!$R$29,1,""),"")</f>
        <v/>
      </c>
      <c r="C247" s="291">
        <v>1</v>
      </c>
      <c r="D247" s="207">
        <f>IF(Limits!$P$11=TRUE,1,0)</f>
        <v>0</v>
      </c>
      <c r="E247" s="172">
        <f>IF(Daten!$P247+Daten!$Q247+Daten!$S247=3,1,0)</f>
        <v>0</v>
      </c>
      <c r="F247" s="173">
        <f ca="1">IF(AND(Limits!$Q$21=TRUE,Daten!O247=1)=TRUE,1,0)</f>
        <v>0</v>
      </c>
      <c r="G247" s="174">
        <f>IF(AND(Limits!$Q$25=TRUE,Daten!N247=1)=TRUE,1,0)</f>
        <v>0</v>
      </c>
      <c r="H247" s="174">
        <f>IF(AND(Limits!$Q$24=TRUE,Daten!M247=1)=TRUE,1,0)</f>
        <v>0</v>
      </c>
      <c r="I247" s="174">
        <f>IF(AND(Limits!$Q$23=TRUE,Daten!L247=1)=TRUE,1,0)</f>
        <v>0</v>
      </c>
      <c r="J247" s="174">
        <f>IF(AND(Limits!$Q$22=TRUE,Daten!K247=1)=TRUE,1,0)</f>
        <v>0</v>
      </c>
      <c r="K247" s="188">
        <f>IF(Daten!$V247=13,1,0)</f>
        <v>0</v>
      </c>
      <c r="L247" s="189">
        <f>IF(Daten!$V247&lt;&gt;Daten!$W247,1,IF(Daten!$V247=14,1,0))</f>
        <v>0</v>
      </c>
      <c r="M247" s="189">
        <f>IF(Daten!$V247&lt;&gt;Daten!$W247,1,IF(Daten!$V247=16,1,0))</f>
        <v>1</v>
      </c>
      <c r="N247" s="189">
        <f>IF(Daten!$W247=17,1,0)</f>
        <v>0</v>
      </c>
      <c r="O247" s="190">
        <f ca="1">IF(Daten!$X247=Sprache!$A$70,1,0)</f>
        <v>0</v>
      </c>
      <c r="P247" s="191">
        <f>IF(AND(Daten!$AQ247&lt;=KINVARO!$AW$3,Daten!$AR247&gt;=KINVARO!$AW$3)=TRUE,1,0)</f>
        <v>1</v>
      </c>
      <c r="Q247" s="192">
        <f>IF(AND(Daten!$AA247&lt;=KINVARO!$AW$4,Daten!$AB247&gt;=KINVARO!$AW$4)=TRUE,1,0)</f>
        <v>0</v>
      </c>
      <c r="R247" s="192"/>
      <c r="S247" s="192">
        <f>IF(AND(Daten!$AD247&lt;=Limits!$I$70,Daten!$AE247&gt;=Limits!$I$70)=TRUE,1,0)</f>
        <v>0</v>
      </c>
      <c r="T247" s="193">
        <f ca="1">IF(Daten!$Y247=Sprache!$A$135,1,0)</f>
        <v>0</v>
      </c>
      <c r="U247" s="124" t="str">
        <f ca="1">Sprache!$A$63</f>
        <v>T-57 Поворотный подъемник</v>
      </c>
      <c r="V247" s="194">
        <v>16</v>
      </c>
      <c r="W247" s="193">
        <v>16</v>
      </c>
      <c r="X247" s="187" t="str">
        <f ca="1">Sprache!$A$141</f>
        <v>Alu</v>
      </c>
      <c r="Y247" s="187" t="str">
        <f ca="1">Sprache!$A$136</f>
        <v>nein</v>
      </c>
      <c r="Z247" s="187" t="str">
        <f ca="1">Sprache!$A$79</f>
        <v>Створка</v>
      </c>
      <c r="AA247" s="187">
        <v>600</v>
      </c>
      <c r="AB247" s="124">
        <v>600</v>
      </c>
      <c r="AC247" s="187">
        <v>19</v>
      </c>
      <c r="AD247" s="195">
        <v>2.1</v>
      </c>
      <c r="AE247" s="196">
        <v>2.5</v>
      </c>
      <c r="AF247" s="263" t="str">
        <f>MID(Tabelle2[[#This Row],[bnr full]],1,4)</f>
        <v>F151</v>
      </c>
      <c r="AG247" s="264" t="str">
        <f>MID(Tabelle2[[#This Row],[bnr full]],5,3)</f>
        <v>145</v>
      </c>
      <c r="AH247" s="265" t="str">
        <f>MID(Tabelle2[[#This Row],[bnr full]],8,3)</f>
        <v>223</v>
      </c>
      <c r="AI247" s="264" t="str">
        <f>MID(Tabelle2[[#This Row],[bnr full]],11,3)</f>
        <v>201</v>
      </c>
      <c r="AJ247" s="252" t="str">
        <f>MID(Tabelle2[[#This Row],[bnr full]],11,3)</f>
        <v>201</v>
      </c>
      <c r="AK247" s="197" t="s">
        <v>791</v>
      </c>
      <c r="AL247" s="124" t="str">
        <f ca="1">Sprache!$A$111</f>
        <v>Комплект (Л + П)</v>
      </c>
      <c r="AM247" s="187" t="s">
        <v>25</v>
      </c>
      <c r="AN247" s="187" t="str">
        <f ca="1">Sprache!$A$132</f>
        <v>регулируется</v>
      </c>
      <c r="AO247" s="187" t="s">
        <v>25</v>
      </c>
      <c r="AP247" s="187" t="s">
        <v>25</v>
      </c>
      <c r="AQ247" s="187">
        <f>Limits!$K$9</f>
        <v>200</v>
      </c>
      <c r="AR247" s="124">
        <v>1200</v>
      </c>
      <c r="AS247" s="187"/>
      <c r="AT247" s="124"/>
    </row>
    <row r="248" spans="1:55" ht="15.75" hidden="1" thickTop="1" x14ac:dyDescent="0.25">
      <c r="A248" s="12" t="str">
        <f ca="1">IF(F248+G248+H248+I248+J248+D248+E248=3,IF(Tabelle2[[#This Row],[Kappe Weiß]]=Limits!$R$29,1,""),"")</f>
        <v/>
      </c>
      <c r="B248" s="12" t="str">
        <f ca="1">IF(G248+H248+I248+J248+E248+F248=2,IF(Tabelle2[[#This Row],[Kappe Weiß]]=Limits!$R$29,1,""),"")</f>
        <v/>
      </c>
      <c r="C248" s="293">
        <v>0</v>
      </c>
      <c r="D248" s="171">
        <f>IF(Limits!$P$10=TRUE,1,0)</f>
        <v>0</v>
      </c>
      <c r="E248" s="172">
        <f>IF(Daten!$P248+Daten!$Q248+Daten!$S248=3,1,0)</f>
        <v>0</v>
      </c>
      <c r="F248" s="173">
        <f ca="1">IF(AND(Limits!$Q$21=TRUE,Daten!O248=1)=TRUE,1,0)</f>
        <v>1</v>
      </c>
      <c r="G248" s="174">
        <f ca="1">IF(AND(Limits!$Q$25=TRUE,Daten!N248=1)=TRUE,1,0)</f>
        <v>0</v>
      </c>
      <c r="H248" s="174">
        <f ca="1">IF(AND(Limits!$Q$24=TRUE,Daten!M248=1)=TRUE,1,0)</f>
        <v>0</v>
      </c>
      <c r="I248" s="174">
        <f ca="1">IF(AND(Limits!$Q$23=TRUE,Daten!L248=1)=TRUE,1,0)</f>
        <v>0</v>
      </c>
      <c r="J248" s="174">
        <f ca="1">IF(AND(Limits!$Q$22=TRUE,Daten!K248=1)=TRUE,1,0)</f>
        <v>0</v>
      </c>
      <c r="K248" s="188">
        <f ca="1">IF(Daten!$V248=13,1,0)</f>
        <v>0</v>
      </c>
      <c r="L248" s="189">
        <f ca="1">IF(Daten!$V248&lt;&gt;Daten!$W248,1,IF(Daten!$V248=14,1,0))</f>
        <v>0</v>
      </c>
      <c r="M248" s="189">
        <f ca="1">IF(Daten!$V248&lt;&gt;Daten!$W248,1,IF(Daten!$V248=16,1,0))</f>
        <v>0</v>
      </c>
      <c r="N248" s="189">
        <f ca="1">IF(Daten!$W248=17,1,0)</f>
        <v>0</v>
      </c>
      <c r="O248" s="190">
        <f ca="1">IF(Daten!$X248=Sprache!$A$70,1,0)</f>
        <v>1</v>
      </c>
      <c r="P248" s="208">
        <f>IF(AND(Daten!$AQ248&lt;=KINVARO!$AW$3,Daten!$AR248&gt;=KINVARO!$AW$3)=TRUE,1,0)</f>
        <v>1</v>
      </c>
      <c r="Q248" s="209">
        <f>IF(AND(Daten!$AA248&lt;=KINVARO!$AW$4,Daten!$AB248&gt;=KINVARO!$AW$4)=TRUE,1,0)</f>
        <v>0</v>
      </c>
      <c r="R248" s="209"/>
      <c r="S248" s="209">
        <f>IF(AND(Daten!$AD248&lt;=Limits!$I$70,Daten!$AE248&gt;=Limits!$I$70)=TRUE,1,0)</f>
        <v>1</v>
      </c>
      <c r="T248" s="210">
        <f ca="1">IF(Daten!$Y248=Sprache!$A$135,1,0)</f>
        <v>0</v>
      </c>
      <c r="U248" s="211" t="str">
        <f ca="1">Sprache!$A$64</f>
        <v>T-76 Поворотный подъемник</v>
      </c>
      <c r="V248" s="212" t="str">
        <f ca="1">Sprache!$A$74</f>
        <v>var</v>
      </c>
      <c r="W248" s="210" t="str">
        <f ca="1">Sprache!$A$74</f>
        <v>var</v>
      </c>
      <c r="X248" s="213" t="str">
        <f ca="1">Sprache!$A$70</f>
        <v>соединение с древесиной</v>
      </c>
      <c r="Y248" s="187" t="str">
        <f ca="1">Sprache!$A$136</f>
        <v>nein</v>
      </c>
      <c r="Z248" s="213" t="str">
        <f ca="1">Sprache!$A$79</f>
        <v>Створка</v>
      </c>
      <c r="AA248" s="213">
        <v>400</v>
      </c>
      <c r="AB248" s="211">
        <v>449</v>
      </c>
      <c r="AC248" s="213"/>
      <c r="AD248" s="214">
        <v>7</v>
      </c>
      <c r="AE248" s="215">
        <v>11</v>
      </c>
      <c r="AF248" s="269" t="str">
        <f>MID(Tabelle2[[#This Row],[bnr full]],1,4)</f>
        <v>F151</v>
      </c>
      <c r="AG248" s="270" t="str">
        <f>MID(Tabelle2[[#This Row],[bnr full]],5,3)</f>
        <v>147</v>
      </c>
      <c r="AH248" s="271" t="str">
        <f>MID(Tabelle2[[#This Row],[bnr full]],8,3)</f>
        <v>706</v>
      </c>
      <c r="AI248" s="270" t="str">
        <f>MID(Tabelle2[[#This Row],[bnr full]],11,3)</f>
        <v>201</v>
      </c>
      <c r="AJ248" s="254" t="str">
        <f>MID(Tabelle2[[#This Row],[bnr full]],11,3)</f>
        <v>201</v>
      </c>
      <c r="AK248" s="216" t="s">
        <v>792</v>
      </c>
      <c r="AL248" s="211" t="str">
        <f ca="1">Sprache!$A$111</f>
        <v>Комплект (Л + П)</v>
      </c>
      <c r="AM248" s="213" t="s">
        <v>25</v>
      </c>
      <c r="AN248" s="213" t="str">
        <f ca="1">Sprache!$A$125</f>
        <v>Пружина, стандарт</v>
      </c>
      <c r="AO248" s="187" t="s">
        <v>25</v>
      </c>
      <c r="AP248" s="187" t="s">
        <v>25</v>
      </c>
      <c r="AQ248" s="213">
        <f>Limits!$K$9</f>
        <v>200</v>
      </c>
      <c r="AR248" s="211">
        <v>1200</v>
      </c>
      <c r="AS248" s="187"/>
      <c r="AT248" s="124"/>
      <c r="AU248"/>
      <c r="AV248"/>
      <c r="AY248"/>
      <c r="AZ248"/>
      <c r="BA248"/>
      <c r="BB248"/>
      <c r="BC248"/>
    </row>
    <row r="249" spans="1:55" hidden="1" x14ac:dyDescent="0.25">
      <c r="A249" s="12" t="str">
        <f ca="1">IF(F249+G249+H249+I249+J249+D249+E249=3,IF(Tabelle2[[#This Row],[Kappe Weiß]]=Limits!$R$29,1,""),"")</f>
        <v/>
      </c>
      <c r="B249" s="12" t="str">
        <f ca="1">IF(G249+H249+I249+J249+E249+F249=2,IF(Tabelle2[[#This Row],[Kappe Weiß]]=Limits!$R$29,1,""),"")</f>
        <v/>
      </c>
      <c r="C249" s="291">
        <v>0</v>
      </c>
      <c r="D249" s="171">
        <f>IF(Limits!$P$10=TRUE,1,0)</f>
        <v>0</v>
      </c>
      <c r="E249" s="172">
        <f>IF(Daten!$P249+Daten!$Q249+Daten!$S249=3,1,0)</f>
        <v>0</v>
      </c>
      <c r="F249" s="173">
        <f ca="1">IF(AND(Limits!$Q$21=TRUE,Daten!O249=1)=TRUE,1,0)</f>
        <v>0</v>
      </c>
      <c r="G249" s="174">
        <f>IF(AND(Limits!$Q$25=TRUE,Daten!N249=1)=TRUE,1,0)</f>
        <v>0</v>
      </c>
      <c r="H249" s="174">
        <f>IF(AND(Limits!$Q$24=TRUE,Daten!M249=1)=TRUE,1,0)</f>
        <v>0</v>
      </c>
      <c r="I249" s="174">
        <f>IF(AND(Limits!$Q$23=TRUE,Daten!L249=1)=TRUE,1,0)</f>
        <v>0</v>
      </c>
      <c r="J249" s="174">
        <f>IF(AND(Limits!$Q$22=TRUE,Daten!K249=1)=TRUE,1,0)</f>
        <v>0</v>
      </c>
      <c r="K249" s="188">
        <f>IF(Daten!$V249=13,1,0)</f>
        <v>1</v>
      </c>
      <c r="L249" s="189">
        <f>IF(Daten!$V249&lt;&gt;Daten!$W249,1,IF(Daten!$V249=14,1,0))</f>
        <v>1</v>
      </c>
      <c r="M249" s="189">
        <f>IF(Daten!$V249&lt;&gt;Daten!$W249,1,IF(Daten!$V249=16,1,0))</f>
        <v>1</v>
      </c>
      <c r="N249" s="189">
        <f>IF(Daten!$W249=17,1,0)</f>
        <v>1</v>
      </c>
      <c r="O249" s="190">
        <f ca="1">IF(Daten!$X249=Sprache!$A$70,1,0)</f>
        <v>0</v>
      </c>
      <c r="P249" s="191">
        <f>IF(AND(Daten!$AQ249&lt;=KINVARO!$AW$3,Daten!$AR249&gt;=KINVARO!$AW$3)=TRUE,1,0)</f>
        <v>1</v>
      </c>
      <c r="Q249" s="192">
        <f>IF(AND(Daten!$AA249&lt;=KINVARO!$AW$4,Daten!$AB249&gt;=KINVARO!$AW$4)=TRUE,1,0)</f>
        <v>0</v>
      </c>
      <c r="R249" s="192"/>
      <c r="S249" s="192">
        <f>IF(AND(Daten!$AD249&lt;=Limits!$I$70,Daten!$AE249&gt;=Limits!$I$70)=TRUE,1,0)</f>
        <v>1</v>
      </c>
      <c r="T249" s="193">
        <f ca="1">IF(Daten!$Y249=Sprache!$A$135,1,0)</f>
        <v>0</v>
      </c>
      <c r="U249" s="124" t="str">
        <f ca="1">Sprache!$A$64</f>
        <v>T-76 Поворотный подъемник</v>
      </c>
      <c r="V249" s="194">
        <v>13</v>
      </c>
      <c r="W249" s="193">
        <v>17</v>
      </c>
      <c r="X249" s="187" t="str">
        <f ca="1">Sprache!$A$142</f>
        <v>Alu (Rahmen 19mm)</v>
      </c>
      <c r="Y249" s="187" t="str">
        <f ca="1">Sprache!$A$136</f>
        <v>nein</v>
      </c>
      <c r="Z249" s="187" t="str">
        <f ca="1">Sprache!$A$79</f>
        <v>Створка</v>
      </c>
      <c r="AA249" s="187">
        <v>400</v>
      </c>
      <c r="AB249" s="124">
        <v>449</v>
      </c>
      <c r="AC249" s="187"/>
      <c r="AD249" s="195">
        <v>7</v>
      </c>
      <c r="AE249" s="196">
        <v>11</v>
      </c>
      <c r="AF249" s="263" t="str">
        <f>MID(Tabelle2[[#This Row],[bnr full]],1,4)</f>
        <v>F151</v>
      </c>
      <c r="AG249" s="264" t="str">
        <f>MID(Tabelle2[[#This Row],[bnr full]],5,3)</f>
        <v>147</v>
      </c>
      <c r="AH249" s="265" t="str">
        <f>MID(Tabelle2[[#This Row],[bnr full]],8,3)</f>
        <v>706</v>
      </c>
      <c r="AI249" s="264" t="str">
        <f>MID(Tabelle2[[#This Row],[bnr full]],11,3)</f>
        <v>201</v>
      </c>
      <c r="AJ249" s="252" t="str">
        <f>MID(Tabelle2[[#This Row],[bnr full]],11,3)</f>
        <v>201</v>
      </c>
      <c r="AK249" s="197" t="s">
        <v>792</v>
      </c>
      <c r="AL249" s="124" t="str">
        <f ca="1">Sprache!$A$111</f>
        <v>Комплект (Л + П)</v>
      </c>
      <c r="AM249" s="187" t="s">
        <v>25</v>
      </c>
      <c r="AN249" s="187" t="str">
        <f ca="1">Sprache!$A$125</f>
        <v>Пружина, стандарт</v>
      </c>
      <c r="AO249" s="187" t="str">
        <f ca="1">Sprache!$A$145</f>
        <v>Адаптер под алюминиевые рамки к комплекту Kinvaro T-76</v>
      </c>
      <c r="AP249" s="187" t="s">
        <v>820</v>
      </c>
      <c r="AQ249" s="187">
        <f>Limits!$K$9</f>
        <v>200</v>
      </c>
      <c r="AR249" s="124">
        <v>1200</v>
      </c>
      <c r="AS249" s="187"/>
      <c r="AT249" s="124"/>
      <c r="AU249"/>
      <c r="AV249"/>
      <c r="AY249"/>
      <c r="AZ249"/>
      <c r="BA249"/>
      <c r="BB249"/>
      <c r="BC249"/>
    </row>
    <row r="250" spans="1:55" hidden="1" x14ac:dyDescent="0.25">
      <c r="A250" s="12" t="str">
        <f ca="1">IF(F250+G250+H250+I250+J250+D250+E250=3,IF(Tabelle2[[#This Row],[Kappe Weiß]]=Limits!$R$29,1,""),"")</f>
        <v/>
      </c>
      <c r="B250" s="12" t="str">
        <f ca="1">IF(G250+H250+I250+J250+E250+F250=2,IF(Tabelle2[[#This Row],[Kappe Weiß]]=Limits!$R$29,1,""),"")</f>
        <v/>
      </c>
      <c r="C250" s="292">
        <v>0</v>
      </c>
      <c r="D250" s="171">
        <f>IF(Limits!$P$10=TRUE,1,0)</f>
        <v>0</v>
      </c>
      <c r="E250" s="172">
        <f>IF(Daten!$P250+Daten!$Q250+Daten!$S250=3,1,0)</f>
        <v>0</v>
      </c>
      <c r="F250" s="173">
        <f ca="1">IF(AND(Limits!$Q$21=TRUE,Daten!O250=1)=TRUE,1,0)</f>
        <v>1</v>
      </c>
      <c r="G250" s="174">
        <f ca="1">IF(AND(Limits!$Q$25=TRUE,Daten!N250=1)=TRUE,1,0)</f>
        <v>0</v>
      </c>
      <c r="H250" s="174">
        <f ca="1">IF(AND(Limits!$Q$24=TRUE,Daten!M250=1)=TRUE,1,0)</f>
        <v>0</v>
      </c>
      <c r="I250" s="174">
        <f ca="1">IF(AND(Limits!$Q$23=TRUE,Daten!L250=1)=TRUE,1,0)</f>
        <v>0</v>
      </c>
      <c r="J250" s="174">
        <f ca="1">IF(AND(Limits!$Q$22=TRUE,Daten!K250=1)=TRUE,1,0)</f>
        <v>0</v>
      </c>
      <c r="K250" s="188">
        <f ca="1">IF(Daten!$V250=13,1,0)</f>
        <v>0</v>
      </c>
      <c r="L250" s="189">
        <f ca="1">IF(Daten!$V250&lt;&gt;Daten!$W250,1,IF(Daten!$V250=14,1,0))</f>
        <v>0</v>
      </c>
      <c r="M250" s="189">
        <f ca="1">IF(Daten!$V250&lt;&gt;Daten!$W250,1,IF(Daten!$V250=16,1,0))</f>
        <v>0</v>
      </c>
      <c r="N250" s="189">
        <f ca="1">IF(Daten!$W250=17,1,0)</f>
        <v>0</v>
      </c>
      <c r="O250" s="190">
        <f ca="1">IF(Daten!$X250=Sprache!$A$70,1,0)</f>
        <v>1</v>
      </c>
      <c r="P250" s="198">
        <f>IF(AND(Daten!$AQ250&lt;=KINVARO!$AW$3,Daten!$AR250&gt;=KINVARO!$AW$3)=TRUE,1,0)</f>
        <v>1</v>
      </c>
      <c r="Q250" s="199">
        <f>IF(AND(Daten!$AA250&lt;=KINVARO!$AW$4,Daten!$AB250&gt;=KINVARO!$AW$4)=TRUE,1,0)</f>
        <v>0</v>
      </c>
      <c r="R250" s="199"/>
      <c r="S250" s="199">
        <f>IF(AND(Daten!$AD250&lt;=Limits!$I$70,Daten!$AE250&gt;=Limits!$I$70)=TRUE,1,0)</f>
        <v>0</v>
      </c>
      <c r="T250" s="200">
        <f ca="1">IF(Daten!$Y250=Sprache!$A$135,1,0)</f>
        <v>0</v>
      </c>
      <c r="U250" s="201" t="str">
        <f ca="1">Sprache!$A$64</f>
        <v>T-76 Поворотный подъемник</v>
      </c>
      <c r="V250" s="202" t="str">
        <f ca="1">Sprache!$A$74</f>
        <v>var</v>
      </c>
      <c r="W250" s="200" t="str">
        <f ca="1">Sprache!$A$74</f>
        <v>var</v>
      </c>
      <c r="X250" s="203" t="str">
        <f ca="1">Sprache!$A$70</f>
        <v>соединение с древесиной</v>
      </c>
      <c r="Y250" s="187" t="str">
        <f ca="1">Sprache!$A$136</f>
        <v>nein</v>
      </c>
      <c r="Z250" s="203" t="str">
        <f ca="1">Sprache!$A$79</f>
        <v>Створка</v>
      </c>
      <c r="AA250" s="203">
        <v>450</v>
      </c>
      <c r="AB250" s="201">
        <v>499</v>
      </c>
      <c r="AC250" s="203"/>
      <c r="AD250" s="204">
        <v>6.7</v>
      </c>
      <c r="AE250" s="205">
        <v>9.6</v>
      </c>
      <c r="AF250" s="266" t="str">
        <f>MID(Tabelle2[[#This Row],[bnr full]],1,4)</f>
        <v>F151</v>
      </c>
      <c r="AG250" s="267" t="str">
        <f>MID(Tabelle2[[#This Row],[bnr full]],5,3)</f>
        <v>147</v>
      </c>
      <c r="AH250" s="268" t="str">
        <f>MID(Tabelle2[[#This Row],[bnr full]],8,3)</f>
        <v>706</v>
      </c>
      <c r="AI250" s="267" t="str">
        <f>MID(Tabelle2[[#This Row],[bnr full]],11,3)</f>
        <v>201</v>
      </c>
      <c r="AJ250" s="253" t="str">
        <f>MID(Tabelle2[[#This Row],[bnr full]],11,3)</f>
        <v>201</v>
      </c>
      <c r="AK250" s="206" t="s">
        <v>792</v>
      </c>
      <c r="AL250" s="201" t="str">
        <f ca="1">Sprache!$A$111</f>
        <v>Комплект (Л + П)</v>
      </c>
      <c r="AM250" s="203" t="s">
        <v>25</v>
      </c>
      <c r="AN250" s="203" t="str">
        <f ca="1">Sprache!$A$125</f>
        <v>Пружина, стандарт</v>
      </c>
      <c r="AO250" s="203" t="s">
        <v>25</v>
      </c>
      <c r="AP250" s="203" t="s">
        <v>25</v>
      </c>
      <c r="AQ250" s="203">
        <f>Limits!$K$9</f>
        <v>200</v>
      </c>
      <c r="AR250" s="201">
        <v>1200</v>
      </c>
      <c r="AS250" s="187"/>
      <c r="AT250" s="124"/>
      <c r="AU250"/>
      <c r="AV250"/>
      <c r="AY250"/>
      <c r="AZ250"/>
      <c r="BA250"/>
      <c r="BB250"/>
      <c r="BC250"/>
    </row>
    <row r="251" spans="1:55" hidden="1" x14ac:dyDescent="0.25">
      <c r="A251" s="12" t="str">
        <f ca="1">IF(F251+G251+H251+I251+J251+D251+E251=3,IF(Tabelle2[[#This Row],[Kappe Weiß]]=Limits!$R$29,1,""),"")</f>
        <v/>
      </c>
      <c r="B251" s="12" t="str">
        <f ca="1">IF(G251+H251+I251+J251+E251+F251=2,IF(Tabelle2[[#This Row],[Kappe Weiß]]=Limits!$R$29,1,""),"")</f>
        <v/>
      </c>
      <c r="C251" s="291">
        <v>0</v>
      </c>
      <c r="D251" s="171">
        <f>IF(Limits!$P$10=TRUE,1,0)</f>
        <v>0</v>
      </c>
      <c r="E251" s="172">
        <f>IF(Daten!$P251+Daten!$Q251+Daten!$S251=3,1,0)</f>
        <v>0</v>
      </c>
      <c r="F251" s="173">
        <f ca="1">IF(AND(Limits!$Q$21=TRUE,Daten!O251=1)=TRUE,1,0)</f>
        <v>0</v>
      </c>
      <c r="G251" s="174">
        <f>IF(AND(Limits!$Q$25=TRUE,Daten!N251=1)=TRUE,1,0)</f>
        <v>0</v>
      </c>
      <c r="H251" s="174">
        <f>IF(AND(Limits!$Q$24=TRUE,Daten!M251=1)=TRUE,1,0)</f>
        <v>0</v>
      </c>
      <c r="I251" s="174">
        <f>IF(AND(Limits!$Q$23=TRUE,Daten!L251=1)=TRUE,1,0)</f>
        <v>0</v>
      </c>
      <c r="J251" s="174">
        <f>IF(AND(Limits!$Q$22=TRUE,Daten!K251=1)=TRUE,1,0)</f>
        <v>0</v>
      </c>
      <c r="K251" s="188">
        <f>IF(Daten!$V251=13,1,0)</f>
        <v>1</v>
      </c>
      <c r="L251" s="189">
        <f>IF(Daten!$V251&lt;&gt;Daten!$W251,1,IF(Daten!$V251=14,1,0))</f>
        <v>1</v>
      </c>
      <c r="M251" s="189">
        <f>IF(Daten!$V251&lt;&gt;Daten!$W251,1,IF(Daten!$V251=16,1,0))</f>
        <v>1</v>
      </c>
      <c r="N251" s="189">
        <f>IF(Daten!$W251=17,1,0)</f>
        <v>1</v>
      </c>
      <c r="O251" s="190">
        <f ca="1">IF(Daten!$X251=Sprache!$A$70,1,0)</f>
        <v>0</v>
      </c>
      <c r="P251" s="191">
        <f>IF(AND(Daten!$AQ251&lt;=KINVARO!$AW$3,Daten!$AR251&gt;=KINVARO!$AW$3)=TRUE,1,0)</f>
        <v>1</v>
      </c>
      <c r="Q251" s="192">
        <f>IF(AND(Daten!$AA251&lt;=KINVARO!$AW$4,Daten!$AB251&gt;=KINVARO!$AW$4)=TRUE,1,0)</f>
        <v>0</v>
      </c>
      <c r="R251" s="192"/>
      <c r="S251" s="192">
        <f>IF(AND(Daten!$AD251&lt;=Limits!$I$70,Daten!$AE251&gt;=Limits!$I$70)=TRUE,1,0)</f>
        <v>0</v>
      </c>
      <c r="T251" s="193">
        <f ca="1">IF(Daten!$Y251=Sprache!$A$135,1,0)</f>
        <v>0</v>
      </c>
      <c r="U251" s="124" t="str">
        <f ca="1">Sprache!$A$64</f>
        <v>T-76 Поворотный подъемник</v>
      </c>
      <c r="V251" s="194">
        <v>13</v>
      </c>
      <c r="W251" s="193">
        <v>17</v>
      </c>
      <c r="X251" s="187" t="str">
        <f ca="1">Sprache!$A$142</f>
        <v>Alu (Rahmen 19mm)</v>
      </c>
      <c r="Y251" s="187" t="str">
        <f ca="1">Sprache!$A$136</f>
        <v>nein</v>
      </c>
      <c r="Z251" s="187" t="str">
        <f ca="1">Sprache!$A$79</f>
        <v>Створка</v>
      </c>
      <c r="AA251" s="187">
        <v>450</v>
      </c>
      <c r="AB251" s="124">
        <v>499</v>
      </c>
      <c r="AC251" s="187"/>
      <c r="AD251" s="195">
        <v>6.7</v>
      </c>
      <c r="AE251" s="196">
        <v>9.6</v>
      </c>
      <c r="AF251" s="263" t="str">
        <f>MID(Tabelle2[[#This Row],[bnr full]],1,4)</f>
        <v>F151</v>
      </c>
      <c r="AG251" s="264" t="str">
        <f>MID(Tabelle2[[#This Row],[bnr full]],5,3)</f>
        <v>147</v>
      </c>
      <c r="AH251" s="265" t="str">
        <f>MID(Tabelle2[[#This Row],[bnr full]],8,3)</f>
        <v>706</v>
      </c>
      <c r="AI251" s="264" t="str">
        <f>MID(Tabelle2[[#This Row],[bnr full]],11,3)</f>
        <v>201</v>
      </c>
      <c r="AJ251" s="252" t="str">
        <f>MID(Tabelle2[[#This Row],[bnr full]],11,3)</f>
        <v>201</v>
      </c>
      <c r="AK251" s="197" t="s">
        <v>792</v>
      </c>
      <c r="AL251" s="124" t="str">
        <f ca="1">Sprache!$A$111</f>
        <v>Комплект (Л + П)</v>
      </c>
      <c r="AM251" s="187" t="s">
        <v>25</v>
      </c>
      <c r="AN251" s="187" t="str">
        <f ca="1">Sprache!$A$125</f>
        <v>Пружина, стандарт</v>
      </c>
      <c r="AO251" s="187" t="str">
        <f ca="1">Sprache!$A$145</f>
        <v>Адаптер под алюминиевые рамки к комплекту Kinvaro T-76</v>
      </c>
      <c r="AP251" s="187" t="s">
        <v>820</v>
      </c>
      <c r="AQ251" s="187">
        <f>Limits!$K$9</f>
        <v>200</v>
      </c>
      <c r="AR251" s="124">
        <v>1200</v>
      </c>
      <c r="AS251" s="187"/>
      <c r="AT251" s="124"/>
      <c r="AU251"/>
      <c r="AV251"/>
      <c r="AY251"/>
      <c r="AZ251"/>
      <c r="BA251"/>
      <c r="BB251"/>
      <c r="BC251"/>
    </row>
    <row r="252" spans="1:55" hidden="1" x14ac:dyDescent="0.25">
      <c r="A252" s="12" t="str">
        <f ca="1">IF(F252+G252+H252+I252+J252+D252+E252=3,IF(Tabelle2[[#This Row],[Kappe Weiß]]=Limits!$R$29,1,""),"")</f>
        <v/>
      </c>
      <c r="B252" s="12" t="str">
        <f ca="1">IF(G252+H252+I252+J252+E252+F252=2,IF(Tabelle2[[#This Row],[Kappe Weiß]]=Limits!$R$29,1,""),"")</f>
        <v/>
      </c>
      <c r="C252" s="292">
        <v>0</v>
      </c>
      <c r="D252" s="171">
        <f>IF(Limits!$P$10=TRUE,1,0)</f>
        <v>0</v>
      </c>
      <c r="E252" s="172">
        <f>IF(Daten!$P252+Daten!$Q252+Daten!$S252=3,1,0)</f>
        <v>0</v>
      </c>
      <c r="F252" s="173">
        <f ca="1">IF(AND(Limits!$Q$21=TRUE,Daten!O252=1)=TRUE,1,0)</f>
        <v>1</v>
      </c>
      <c r="G252" s="174">
        <f ca="1">IF(AND(Limits!$Q$25=TRUE,Daten!N252=1)=TRUE,1,0)</f>
        <v>0</v>
      </c>
      <c r="H252" s="174">
        <f ca="1">IF(AND(Limits!$Q$24=TRUE,Daten!M252=1)=TRUE,1,0)</f>
        <v>0</v>
      </c>
      <c r="I252" s="174">
        <f ca="1">IF(AND(Limits!$Q$23=TRUE,Daten!L252=1)=TRUE,1,0)</f>
        <v>0</v>
      </c>
      <c r="J252" s="174">
        <f ca="1">IF(AND(Limits!$Q$22=TRUE,Daten!K252=1)=TRUE,1,0)</f>
        <v>0</v>
      </c>
      <c r="K252" s="188">
        <f ca="1">IF(Daten!$V252=13,1,0)</f>
        <v>0</v>
      </c>
      <c r="L252" s="189">
        <f ca="1">IF(Daten!$V252&lt;&gt;Daten!$W252,1,IF(Daten!$V252=14,1,0))</f>
        <v>0</v>
      </c>
      <c r="M252" s="189">
        <f ca="1">IF(Daten!$V252&lt;&gt;Daten!$W252,1,IF(Daten!$V252=16,1,0))</f>
        <v>0</v>
      </c>
      <c r="N252" s="189">
        <f ca="1">IF(Daten!$W252=17,1,0)</f>
        <v>0</v>
      </c>
      <c r="O252" s="190">
        <f ca="1">IF(Daten!$X252=Sprache!$A$70,1,0)</f>
        <v>1</v>
      </c>
      <c r="P252" s="198">
        <f>IF(AND(Daten!$AQ252&lt;=KINVARO!$AW$3,Daten!$AR252&gt;=KINVARO!$AW$3)=TRUE,1,0)</f>
        <v>1</v>
      </c>
      <c r="Q252" s="199">
        <f>IF(AND(Daten!$AA252&lt;=KINVARO!$AW$4,Daten!$AB252&gt;=KINVARO!$AW$4)=TRUE,1,0)</f>
        <v>0</v>
      </c>
      <c r="R252" s="199"/>
      <c r="S252" s="199">
        <f>IF(AND(Daten!$AD252&lt;=Limits!$I$70,Daten!$AE252&gt;=Limits!$I$70)=TRUE,1,0)</f>
        <v>0</v>
      </c>
      <c r="T252" s="200">
        <f ca="1">IF(Daten!$Y252=Sprache!$A$135,1,0)</f>
        <v>0</v>
      </c>
      <c r="U252" s="201" t="str">
        <f ca="1">Sprache!$A$64</f>
        <v>T-76 Поворотный подъемник</v>
      </c>
      <c r="V252" s="202" t="str">
        <f ca="1">Sprache!$A$74</f>
        <v>var</v>
      </c>
      <c r="W252" s="200" t="str">
        <f ca="1">Sprache!$A$74</f>
        <v>var</v>
      </c>
      <c r="X252" s="203" t="str">
        <f ca="1">Sprache!$A$70</f>
        <v>соединение с древесиной</v>
      </c>
      <c r="Y252" s="187" t="str">
        <f ca="1">Sprache!$A$136</f>
        <v>nein</v>
      </c>
      <c r="Z252" s="203" t="str">
        <f ca="1">Sprache!$A$79</f>
        <v>Створка</v>
      </c>
      <c r="AA252" s="203">
        <v>500</v>
      </c>
      <c r="AB252" s="201">
        <v>549</v>
      </c>
      <c r="AC252" s="203"/>
      <c r="AD252" s="204">
        <v>5.8</v>
      </c>
      <c r="AE252" s="205">
        <v>8.5</v>
      </c>
      <c r="AF252" s="266" t="str">
        <f>MID(Tabelle2[[#This Row],[bnr full]],1,4)</f>
        <v>F151</v>
      </c>
      <c r="AG252" s="267" t="str">
        <f>MID(Tabelle2[[#This Row],[bnr full]],5,3)</f>
        <v>147</v>
      </c>
      <c r="AH252" s="268" t="str">
        <f>MID(Tabelle2[[#This Row],[bnr full]],8,3)</f>
        <v>706</v>
      </c>
      <c r="AI252" s="267" t="str">
        <f>MID(Tabelle2[[#This Row],[bnr full]],11,3)</f>
        <v>201</v>
      </c>
      <c r="AJ252" s="253" t="str">
        <f>MID(Tabelle2[[#This Row],[bnr full]],11,3)</f>
        <v>201</v>
      </c>
      <c r="AK252" s="206" t="s">
        <v>792</v>
      </c>
      <c r="AL252" s="201" t="str">
        <f ca="1">Sprache!$A$111</f>
        <v>Комплект (Л + П)</v>
      </c>
      <c r="AM252" s="203" t="s">
        <v>25</v>
      </c>
      <c r="AN252" s="203" t="str">
        <f ca="1">Sprache!$A$125</f>
        <v>Пружина, стандарт</v>
      </c>
      <c r="AO252" s="203" t="s">
        <v>25</v>
      </c>
      <c r="AP252" s="203" t="s">
        <v>25</v>
      </c>
      <c r="AQ252" s="203">
        <f>Limits!$K$9</f>
        <v>200</v>
      </c>
      <c r="AR252" s="201">
        <v>1200</v>
      </c>
      <c r="AS252" s="187"/>
      <c r="AT252" s="124"/>
      <c r="AU252"/>
      <c r="AV252"/>
      <c r="AY252"/>
      <c r="AZ252"/>
      <c r="BA252"/>
      <c r="BB252"/>
      <c r="BC252"/>
    </row>
    <row r="253" spans="1:55" hidden="1" x14ac:dyDescent="0.25">
      <c r="A253" s="12" t="str">
        <f ca="1">IF(F253+G253+H253+I253+J253+D253+E253=3,IF(Tabelle2[[#This Row],[Kappe Weiß]]=Limits!$R$29,1,""),"")</f>
        <v/>
      </c>
      <c r="B253" s="12" t="str">
        <f ca="1">IF(G253+H253+I253+J253+E253+F253=2,IF(Tabelle2[[#This Row],[Kappe Weiß]]=Limits!$R$29,1,""),"")</f>
        <v/>
      </c>
      <c r="C253" s="291">
        <v>0</v>
      </c>
      <c r="D253" s="171">
        <f>IF(Limits!$P$10=TRUE,1,0)</f>
        <v>0</v>
      </c>
      <c r="E253" s="172">
        <f>IF(Daten!$P253+Daten!$Q253+Daten!$S253=3,1,0)</f>
        <v>0</v>
      </c>
      <c r="F253" s="173">
        <f ca="1">IF(AND(Limits!$Q$21=TRUE,Daten!O253=1)=TRUE,1,0)</f>
        <v>0</v>
      </c>
      <c r="G253" s="174">
        <f>IF(AND(Limits!$Q$25=TRUE,Daten!N253=1)=TRUE,1,0)</f>
        <v>0</v>
      </c>
      <c r="H253" s="174">
        <f>IF(AND(Limits!$Q$24=TRUE,Daten!M253=1)=TRUE,1,0)</f>
        <v>0</v>
      </c>
      <c r="I253" s="174">
        <f>IF(AND(Limits!$Q$23=TRUE,Daten!L253=1)=TRUE,1,0)</f>
        <v>0</v>
      </c>
      <c r="J253" s="174">
        <f>IF(AND(Limits!$Q$22=TRUE,Daten!K253=1)=TRUE,1,0)</f>
        <v>0</v>
      </c>
      <c r="K253" s="188">
        <f>IF(Daten!$V253=13,1,0)</f>
        <v>1</v>
      </c>
      <c r="L253" s="189">
        <f>IF(Daten!$V253&lt;&gt;Daten!$W253,1,IF(Daten!$V253=14,1,0))</f>
        <v>1</v>
      </c>
      <c r="M253" s="189">
        <f>IF(Daten!$V253&lt;&gt;Daten!$W253,1,IF(Daten!$V253=16,1,0))</f>
        <v>1</v>
      </c>
      <c r="N253" s="189">
        <f>IF(Daten!$W253=17,1,0)</f>
        <v>1</v>
      </c>
      <c r="O253" s="190">
        <f ca="1">IF(Daten!$X253=Sprache!$A$70,1,0)</f>
        <v>0</v>
      </c>
      <c r="P253" s="191">
        <f>IF(AND(Daten!$AQ253&lt;=KINVARO!$AW$3,Daten!$AR253&gt;=KINVARO!$AW$3)=TRUE,1,0)</f>
        <v>1</v>
      </c>
      <c r="Q253" s="192">
        <f>IF(AND(Daten!$AA253&lt;=KINVARO!$AW$4,Daten!$AB253&gt;=KINVARO!$AW$4)=TRUE,1,0)</f>
        <v>0</v>
      </c>
      <c r="R253" s="192"/>
      <c r="S253" s="192">
        <f>IF(AND(Daten!$AD253&lt;=Limits!$I$70,Daten!$AE253&gt;=Limits!$I$70)=TRUE,1,0)</f>
        <v>0</v>
      </c>
      <c r="T253" s="193">
        <f ca="1">IF(Daten!$Y253=Sprache!$A$135,1,0)</f>
        <v>0</v>
      </c>
      <c r="U253" s="124" t="str">
        <f ca="1">Sprache!$A$64</f>
        <v>T-76 Поворотный подъемник</v>
      </c>
      <c r="V253" s="194">
        <v>13</v>
      </c>
      <c r="W253" s="193">
        <v>17</v>
      </c>
      <c r="X253" s="187" t="str">
        <f ca="1">Sprache!$A$142</f>
        <v>Alu (Rahmen 19mm)</v>
      </c>
      <c r="Y253" s="187" t="str">
        <f ca="1">Sprache!$A$136</f>
        <v>nein</v>
      </c>
      <c r="Z253" s="187" t="str">
        <f ca="1">Sprache!$A$79</f>
        <v>Створка</v>
      </c>
      <c r="AA253" s="187">
        <v>500</v>
      </c>
      <c r="AB253" s="124">
        <v>549</v>
      </c>
      <c r="AC253" s="187"/>
      <c r="AD253" s="195">
        <v>5.8</v>
      </c>
      <c r="AE253" s="196">
        <v>8.5</v>
      </c>
      <c r="AF253" s="263" t="str">
        <f>MID(Tabelle2[[#This Row],[bnr full]],1,4)</f>
        <v>F151</v>
      </c>
      <c r="AG253" s="264" t="str">
        <f>MID(Tabelle2[[#This Row],[bnr full]],5,3)</f>
        <v>147</v>
      </c>
      <c r="AH253" s="265" t="str">
        <f>MID(Tabelle2[[#This Row],[bnr full]],8,3)</f>
        <v>706</v>
      </c>
      <c r="AI253" s="264" t="str">
        <f>MID(Tabelle2[[#This Row],[bnr full]],11,3)</f>
        <v>201</v>
      </c>
      <c r="AJ253" s="252" t="str">
        <f>MID(Tabelle2[[#This Row],[bnr full]],11,3)</f>
        <v>201</v>
      </c>
      <c r="AK253" s="197" t="s">
        <v>792</v>
      </c>
      <c r="AL253" s="124" t="str">
        <f ca="1">Sprache!$A$111</f>
        <v>Комплект (Л + П)</v>
      </c>
      <c r="AM253" s="187" t="s">
        <v>25</v>
      </c>
      <c r="AN253" s="187" t="str">
        <f ca="1">Sprache!$A$125</f>
        <v>Пружина, стандарт</v>
      </c>
      <c r="AO253" s="187" t="str">
        <f ca="1">Sprache!$A$145</f>
        <v>Адаптер под алюминиевые рамки к комплекту Kinvaro T-76</v>
      </c>
      <c r="AP253" s="225" t="s">
        <v>821</v>
      </c>
      <c r="AQ253" s="187">
        <f>Limits!$K$9</f>
        <v>200</v>
      </c>
      <c r="AR253" s="124">
        <v>1200</v>
      </c>
      <c r="AS253" s="187"/>
      <c r="AT253" s="124"/>
      <c r="AU253"/>
      <c r="AV253"/>
      <c r="AY253"/>
      <c r="AZ253"/>
      <c r="BA253"/>
      <c r="BB253"/>
      <c r="BC253"/>
    </row>
    <row r="254" spans="1:55" hidden="1" x14ac:dyDescent="0.25">
      <c r="A254" s="12" t="str">
        <f ca="1">IF(F254+G254+H254+I254+J254+D254+E254=3,IF(Tabelle2[[#This Row],[Kappe Weiß]]=Limits!$R$29,1,""),"")</f>
        <v/>
      </c>
      <c r="B254" s="12" t="str">
        <f ca="1">IF(G254+H254+I254+J254+E254+F254=2,IF(Tabelle2[[#This Row],[Kappe Weiß]]=Limits!$R$29,1,""),"")</f>
        <v/>
      </c>
      <c r="C254" s="292">
        <v>0</v>
      </c>
      <c r="D254" s="171">
        <f>IF(Limits!$P$10=TRUE,1,0)</f>
        <v>0</v>
      </c>
      <c r="E254" s="172">
        <f>IF(Daten!$P254+Daten!$Q254+Daten!$S254=3,1,0)</f>
        <v>0</v>
      </c>
      <c r="F254" s="173">
        <f ca="1">IF(AND(Limits!$Q$21=TRUE,Daten!O254=1)=TRUE,1,0)</f>
        <v>1</v>
      </c>
      <c r="G254" s="174">
        <f ca="1">IF(AND(Limits!$Q$25=TRUE,Daten!N254=1)=TRUE,1,0)</f>
        <v>0</v>
      </c>
      <c r="H254" s="174">
        <f ca="1">IF(AND(Limits!$Q$24=TRUE,Daten!M254=1)=TRUE,1,0)</f>
        <v>0</v>
      </c>
      <c r="I254" s="174">
        <f ca="1">IF(AND(Limits!$Q$23=TRUE,Daten!L254=1)=TRUE,1,0)</f>
        <v>0</v>
      </c>
      <c r="J254" s="174">
        <f ca="1">IF(AND(Limits!$Q$22=TRUE,Daten!K254=1)=TRUE,1,0)</f>
        <v>0</v>
      </c>
      <c r="K254" s="188">
        <f ca="1">IF(Daten!$V254=13,1,0)</f>
        <v>0</v>
      </c>
      <c r="L254" s="189">
        <f ca="1">IF(Daten!$V254&lt;&gt;Daten!$W254,1,IF(Daten!$V254=14,1,0))</f>
        <v>0</v>
      </c>
      <c r="M254" s="189">
        <f ca="1">IF(Daten!$V254&lt;&gt;Daten!$W254,1,IF(Daten!$V254=16,1,0))</f>
        <v>0</v>
      </c>
      <c r="N254" s="189">
        <f ca="1">IF(Daten!$W254=17,1,0)</f>
        <v>0</v>
      </c>
      <c r="O254" s="190">
        <f ca="1">IF(Daten!$X254=Sprache!$A$70,1,0)</f>
        <v>1</v>
      </c>
      <c r="P254" s="198">
        <f>IF(AND(Daten!$AQ254&lt;=KINVARO!$AW$3,Daten!$AR254&gt;=KINVARO!$AW$3)=TRUE,1,0)</f>
        <v>1</v>
      </c>
      <c r="Q254" s="199">
        <f>IF(AND(Daten!$AA254&lt;=KINVARO!$AW$4,Daten!$AB254&gt;=KINVARO!$AW$4)=TRUE,1,0)</f>
        <v>0</v>
      </c>
      <c r="R254" s="199"/>
      <c r="S254" s="199">
        <f>IF(AND(Daten!$AD254&lt;=Limits!$I$70,Daten!$AE254&gt;=Limits!$I$70)=TRUE,1,0)</f>
        <v>0</v>
      </c>
      <c r="T254" s="200">
        <f ca="1">IF(Daten!$Y254=Sprache!$A$135,1,0)</f>
        <v>0</v>
      </c>
      <c r="U254" s="201" t="str">
        <f ca="1">Sprache!$A$64</f>
        <v>T-76 Поворотный подъемник</v>
      </c>
      <c r="V254" s="202" t="str">
        <f ca="1">Sprache!$A$74</f>
        <v>var</v>
      </c>
      <c r="W254" s="200" t="str">
        <f ca="1">Sprache!$A$74</f>
        <v>var</v>
      </c>
      <c r="X254" s="203" t="str">
        <f ca="1">Sprache!$A$70</f>
        <v>соединение с древесиной</v>
      </c>
      <c r="Y254" s="187" t="str">
        <f ca="1">Sprache!$A$136</f>
        <v>nein</v>
      </c>
      <c r="Z254" s="203" t="str">
        <f ca="1">Sprache!$A$79</f>
        <v>Створка</v>
      </c>
      <c r="AA254" s="203">
        <v>550</v>
      </c>
      <c r="AB254" s="201">
        <v>599</v>
      </c>
      <c r="AC254" s="203"/>
      <c r="AD254" s="204">
        <v>5.6</v>
      </c>
      <c r="AE254" s="205">
        <v>7.6</v>
      </c>
      <c r="AF254" s="266" t="str">
        <f>MID(Tabelle2[[#This Row],[bnr full]],1,4)</f>
        <v>F151</v>
      </c>
      <c r="AG254" s="267" t="str">
        <f>MID(Tabelle2[[#This Row],[bnr full]],5,3)</f>
        <v>147</v>
      </c>
      <c r="AH254" s="268" t="str">
        <f>MID(Tabelle2[[#This Row],[bnr full]],8,3)</f>
        <v>706</v>
      </c>
      <c r="AI254" s="267" t="str">
        <f>MID(Tabelle2[[#This Row],[bnr full]],11,3)</f>
        <v>201</v>
      </c>
      <c r="AJ254" s="253" t="str">
        <f>MID(Tabelle2[[#This Row],[bnr full]],11,3)</f>
        <v>201</v>
      </c>
      <c r="AK254" s="206" t="s">
        <v>792</v>
      </c>
      <c r="AL254" s="201" t="str">
        <f ca="1">Sprache!$A$111</f>
        <v>Комплект (Л + П)</v>
      </c>
      <c r="AM254" s="203" t="s">
        <v>25</v>
      </c>
      <c r="AN254" s="203" t="str">
        <f ca="1">Sprache!$A$125</f>
        <v>Пружина, стандарт</v>
      </c>
      <c r="AO254" s="203" t="s">
        <v>25</v>
      </c>
      <c r="AP254" s="203" t="s">
        <v>25</v>
      </c>
      <c r="AQ254" s="203">
        <f>Limits!$K$9</f>
        <v>200</v>
      </c>
      <c r="AR254" s="201">
        <v>1200</v>
      </c>
      <c r="AS254" s="187"/>
      <c r="AT254" s="124"/>
      <c r="AU254"/>
      <c r="AV254"/>
      <c r="AY254"/>
      <c r="AZ254"/>
      <c r="BA254"/>
      <c r="BB254"/>
      <c r="BC254"/>
    </row>
    <row r="255" spans="1:55" hidden="1" x14ac:dyDescent="0.25">
      <c r="A255" s="12" t="str">
        <f ca="1">IF(F255+G255+H255+I255+J255+D255+E255=3,IF(Tabelle2[[#This Row],[Kappe Weiß]]=Limits!$R$29,1,""),"")</f>
        <v/>
      </c>
      <c r="B255" s="12" t="str">
        <f ca="1">IF(G255+H255+I255+J255+E255+F255=2,IF(Tabelle2[[#This Row],[Kappe Weiß]]=Limits!$R$29,1,""),"")</f>
        <v/>
      </c>
      <c r="C255" s="291">
        <v>0</v>
      </c>
      <c r="D255" s="171">
        <f>IF(Limits!$P$10=TRUE,1,0)</f>
        <v>0</v>
      </c>
      <c r="E255" s="172">
        <f>IF(Daten!$P255+Daten!$Q255+Daten!$S255=3,1,0)</f>
        <v>0</v>
      </c>
      <c r="F255" s="173">
        <f ca="1">IF(AND(Limits!$Q$21=TRUE,Daten!O255=1)=TRUE,1,0)</f>
        <v>0</v>
      </c>
      <c r="G255" s="174">
        <f>IF(AND(Limits!$Q$25=TRUE,Daten!N255=1)=TRUE,1,0)</f>
        <v>0</v>
      </c>
      <c r="H255" s="174">
        <f>IF(AND(Limits!$Q$24=TRUE,Daten!M255=1)=TRUE,1,0)</f>
        <v>0</v>
      </c>
      <c r="I255" s="174">
        <f>IF(AND(Limits!$Q$23=TRUE,Daten!L255=1)=TRUE,1,0)</f>
        <v>0</v>
      </c>
      <c r="J255" s="174">
        <f>IF(AND(Limits!$Q$22=TRUE,Daten!K255=1)=TRUE,1,0)</f>
        <v>0</v>
      </c>
      <c r="K255" s="188">
        <f>IF(Daten!$V255=13,1,0)</f>
        <v>1</v>
      </c>
      <c r="L255" s="189">
        <f>IF(Daten!$V255&lt;&gt;Daten!$W255,1,IF(Daten!$V255=14,1,0))</f>
        <v>1</v>
      </c>
      <c r="M255" s="189">
        <f>IF(Daten!$V255&lt;&gt;Daten!$W255,1,IF(Daten!$V255=16,1,0))</f>
        <v>1</v>
      </c>
      <c r="N255" s="189">
        <f>IF(Daten!$W255=17,1,0)</f>
        <v>1</v>
      </c>
      <c r="O255" s="190">
        <f ca="1">IF(Daten!$X255=Sprache!$A$70,1,0)</f>
        <v>0</v>
      </c>
      <c r="P255" s="191">
        <f>IF(AND(Daten!$AQ255&lt;=KINVARO!$AW$3,Daten!$AR255&gt;=KINVARO!$AW$3)=TRUE,1,0)</f>
        <v>1</v>
      </c>
      <c r="Q255" s="192">
        <f>IF(AND(Daten!$AA255&lt;=KINVARO!$AW$4,Daten!$AB255&gt;=KINVARO!$AW$4)=TRUE,1,0)</f>
        <v>0</v>
      </c>
      <c r="R255" s="192"/>
      <c r="S255" s="192">
        <f>IF(AND(Daten!$AD255&lt;=Limits!$I$70,Daten!$AE255&gt;=Limits!$I$70)=TRUE,1,0)</f>
        <v>0</v>
      </c>
      <c r="T255" s="193">
        <f ca="1">IF(Daten!$Y255=Sprache!$A$135,1,0)</f>
        <v>0</v>
      </c>
      <c r="U255" s="124" t="str">
        <f ca="1">Sprache!$A$64</f>
        <v>T-76 Поворотный подъемник</v>
      </c>
      <c r="V255" s="194">
        <v>13</v>
      </c>
      <c r="W255" s="193">
        <v>17</v>
      </c>
      <c r="X255" s="187" t="str">
        <f ca="1">Sprache!$A$142</f>
        <v>Alu (Rahmen 19mm)</v>
      </c>
      <c r="Y255" s="187" t="str">
        <f ca="1">Sprache!$A$136</f>
        <v>nein</v>
      </c>
      <c r="Z255" s="187" t="str">
        <f ca="1">Sprache!$A$79</f>
        <v>Створка</v>
      </c>
      <c r="AA255" s="187">
        <v>550</v>
      </c>
      <c r="AB255" s="124">
        <v>599</v>
      </c>
      <c r="AC255" s="187"/>
      <c r="AD255" s="195">
        <v>5.6</v>
      </c>
      <c r="AE255" s="196">
        <v>7.6</v>
      </c>
      <c r="AF255" s="263" t="str">
        <f>MID(Tabelle2[[#This Row],[bnr full]],1,4)</f>
        <v>F151</v>
      </c>
      <c r="AG255" s="264" t="str">
        <f>MID(Tabelle2[[#This Row],[bnr full]],5,3)</f>
        <v>147</v>
      </c>
      <c r="AH255" s="265" t="str">
        <f>MID(Tabelle2[[#This Row],[bnr full]],8,3)</f>
        <v>706</v>
      </c>
      <c r="AI255" s="264" t="str">
        <f>MID(Tabelle2[[#This Row],[bnr full]],11,3)</f>
        <v>201</v>
      </c>
      <c r="AJ255" s="252" t="str">
        <f>MID(Tabelle2[[#This Row],[bnr full]],11,3)</f>
        <v>201</v>
      </c>
      <c r="AK255" s="197" t="s">
        <v>792</v>
      </c>
      <c r="AL255" s="124" t="str">
        <f ca="1">Sprache!$A$111</f>
        <v>Комплект (Л + П)</v>
      </c>
      <c r="AM255" s="187" t="s">
        <v>25</v>
      </c>
      <c r="AN255" s="187" t="str">
        <f ca="1">Sprache!$A$125</f>
        <v>Пружина, стандарт</v>
      </c>
      <c r="AO255" s="187" t="str">
        <f ca="1">Sprache!$A$145</f>
        <v>Адаптер под алюминиевые рамки к комплекту Kinvaro T-76</v>
      </c>
      <c r="AP255" s="225" t="s">
        <v>821</v>
      </c>
      <c r="AQ255" s="187">
        <f>Limits!$K$9</f>
        <v>200</v>
      </c>
      <c r="AR255" s="124">
        <v>1200</v>
      </c>
      <c r="AS255" s="187"/>
      <c r="AT255" s="124"/>
      <c r="AU255"/>
      <c r="AV255"/>
      <c r="AY255"/>
      <c r="AZ255"/>
      <c r="BA255"/>
      <c r="BB255"/>
      <c r="BC255"/>
    </row>
    <row r="256" spans="1:55" hidden="1" x14ac:dyDescent="0.25">
      <c r="A256" s="12" t="str">
        <f ca="1">IF(F256+G256+H256+I256+J256+D256+E256=3,IF(Tabelle2[[#This Row],[Kappe Weiß]]=Limits!$R$29,1,""),"")</f>
        <v/>
      </c>
      <c r="B256" s="12" t="str">
        <f ca="1">IF(G256+H256+I256+J256+E256+F256=2,IF(Tabelle2[[#This Row],[Kappe Weiß]]=Limits!$R$29,1,""),"")</f>
        <v/>
      </c>
      <c r="C256" s="292">
        <v>0</v>
      </c>
      <c r="D256" s="171">
        <f>IF(Limits!$P$10=TRUE,1,0)</f>
        <v>0</v>
      </c>
      <c r="E256" s="172">
        <f>IF(Daten!$P256+Daten!$Q256+Daten!$S256=3,1,0)</f>
        <v>0</v>
      </c>
      <c r="F256" s="173">
        <f ca="1">IF(AND(Limits!$Q$21=TRUE,Daten!O256=1)=TRUE,1,0)</f>
        <v>1</v>
      </c>
      <c r="G256" s="174">
        <f ca="1">IF(AND(Limits!$Q$25=TRUE,Daten!N256=1)=TRUE,1,0)</f>
        <v>0</v>
      </c>
      <c r="H256" s="174">
        <f ca="1">IF(AND(Limits!$Q$24=TRUE,Daten!M256=1)=TRUE,1,0)</f>
        <v>0</v>
      </c>
      <c r="I256" s="174">
        <f ca="1">IF(AND(Limits!$Q$23=TRUE,Daten!L256=1)=TRUE,1,0)</f>
        <v>0</v>
      </c>
      <c r="J256" s="174">
        <f ca="1">IF(AND(Limits!$Q$22=TRUE,Daten!K256=1)=TRUE,1,0)</f>
        <v>0</v>
      </c>
      <c r="K256" s="188">
        <f ca="1">IF(Daten!$V256=13,1,0)</f>
        <v>0</v>
      </c>
      <c r="L256" s="189">
        <f ca="1">IF(Daten!$V256&lt;&gt;Daten!$W256,1,IF(Daten!$V256=14,1,0))</f>
        <v>0</v>
      </c>
      <c r="M256" s="189">
        <f ca="1">IF(Daten!$V256&lt;&gt;Daten!$W256,1,IF(Daten!$V256=16,1,0))</f>
        <v>0</v>
      </c>
      <c r="N256" s="189">
        <f ca="1">IF(Daten!$W256=17,1,0)</f>
        <v>0</v>
      </c>
      <c r="O256" s="190">
        <f ca="1">IF(Daten!$X256=Sprache!$A$70,1,0)</f>
        <v>1</v>
      </c>
      <c r="P256" s="198">
        <f>IF(AND(Daten!$AQ256&lt;=KINVARO!$AW$3,Daten!$AR256&gt;=KINVARO!$AW$3)=TRUE,1,0)</f>
        <v>1</v>
      </c>
      <c r="Q256" s="199">
        <f>IF(AND(Daten!$AA256&lt;=KINVARO!$AW$4,Daten!$AB256&gt;=KINVARO!$AW$4)=TRUE,1,0)</f>
        <v>0</v>
      </c>
      <c r="R256" s="199"/>
      <c r="S256" s="199">
        <f>IF(AND(Daten!$AD256&lt;=Limits!$I$70,Daten!$AE256&gt;=Limits!$I$70)=TRUE,1,0)</f>
        <v>0</v>
      </c>
      <c r="T256" s="200">
        <f ca="1">IF(Daten!$Y256=Sprache!$A$135,1,0)</f>
        <v>0</v>
      </c>
      <c r="U256" s="201" t="str">
        <f ca="1">Sprache!$A$64</f>
        <v>T-76 Поворотный подъемник</v>
      </c>
      <c r="V256" s="202" t="str">
        <f ca="1">Sprache!$A$74</f>
        <v>var</v>
      </c>
      <c r="W256" s="200" t="str">
        <f ca="1">Sprache!$A$74</f>
        <v>var</v>
      </c>
      <c r="X256" s="203" t="str">
        <f ca="1">Sprache!$A$70</f>
        <v>соединение с древесиной</v>
      </c>
      <c r="Y256" s="187" t="str">
        <f ca="1">Sprache!$A$136</f>
        <v>nein</v>
      </c>
      <c r="Z256" s="203" t="str">
        <f ca="1">Sprache!$A$79</f>
        <v>Створка</v>
      </c>
      <c r="AA256" s="203">
        <v>600</v>
      </c>
      <c r="AB256" s="201">
        <v>600</v>
      </c>
      <c r="AC256" s="203"/>
      <c r="AD256" s="204">
        <v>5.2</v>
      </c>
      <c r="AE256" s="205">
        <v>7</v>
      </c>
      <c r="AF256" s="266" t="str">
        <f>MID(Tabelle2[[#This Row],[bnr full]],1,4)</f>
        <v>F151</v>
      </c>
      <c r="AG256" s="267" t="str">
        <f>MID(Tabelle2[[#This Row],[bnr full]],5,3)</f>
        <v>147</v>
      </c>
      <c r="AH256" s="268" t="str">
        <f>MID(Tabelle2[[#This Row],[bnr full]],8,3)</f>
        <v>706</v>
      </c>
      <c r="AI256" s="267" t="str">
        <f>MID(Tabelle2[[#This Row],[bnr full]],11,3)</f>
        <v>201</v>
      </c>
      <c r="AJ256" s="253" t="str">
        <f>MID(Tabelle2[[#This Row],[bnr full]],11,3)</f>
        <v>201</v>
      </c>
      <c r="AK256" s="206" t="s">
        <v>792</v>
      </c>
      <c r="AL256" s="201" t="str">
        <f ca="1">Sprache!$A$111</f>
        <v>Комплект (Л + П)</v>
      </c>
      <c r="AM256" s="203" t="s">
        <v>25</v>
      </c>
      <c r="AN256" s="203" t="str">
        <f ca="1">Sprache!$A$125</f>
        <v>Пружина, стандарт</v>
      </c>
      <c r="AO256" s="203" t="s">
        <v>25</v>
      </c>
      <c r="AP256" s="203" t="s">
        <v>25</v>
      </c>
      <c r="AQ256" s="203">
        <f>Limits!$K$9</f>
        <v>200</v>
      </c>
      <c r="AR256" s="201">
        <v>1200</v>
      </c>
      <c r="AS256" s="187"/>
      <c r="AT256" s="124"/>
      <c r="AU256"/>
      <c r="AV256"/>
      <c r="AY256"/>
      <c r="AZ256"/>
      <c r="BA256"/>
      <c r="BB256"/>
      <c r="BC256"/>
    </row>
    <row r="257" spans="1:55" s="8" customFormat="1" ht="15.75" hidden="1" thickBot="1" x14ac:dyDescent="0.3">
      <c r="A257" s="12" t="str">
        <f ca="1">IF(F257+G257+H257+I257+J257+D257+E257=3,IF(Tabelle2[[#This Row],[Kappe Weiß]]=Limits!$R$29,1,""),"")</f>
        <v/>
      </c>
      <c r="B257" s="12" t="str">
        <f ca="1">IF(G257+H257+I257+J257+E257+F257=2,IF(Tabelle2[[#This Row],[Kappe Weiß]]=Limits!$R$29,1,""),"")</f>
        <v/>
      </c>
      <c r="C257" s="291">
        <v>0</v>
      </c>
      <c r="D257" s="207">
        <f>IF(Limits!$P$10=TRUE,1,0)</f>
        <v>0</v>
      </c>
      <c r="E257" s="172">
        <f>IF(Daten!$P257+Daten!$Q257+Daten!$S257=3,1,0)</f>
        <v>0</v>
      </c>
      <c r="F257" s="173">
        <f ca="1">IF(AND(Limits!$Q$21=TRUE,Daten!O257=1)=TRUE,1,0)</f>
        <v>0</v>
      </c>
      <c r="G257" s="174">
        <f>IF(AND(Limits!$Q$25=TRUE,Daten!N257=1)=TRUE,1,0)</f>
        <v>0</v>
      </c>
      <c r="H257" s="174">
        <f>IF(AND(Limits!$Q$24=TRUE,Daten!M257=1)=TRUE,1,0)</f>
        <v>0</v>
      </c>
      <c r="I257" s="174">
        <f>IF(AND(Limits!$Q$23=TRUE,Daten!L257=1)=TRUE,1,0)</f>
        <v>0</v>
      </c>
      <c r="J257" s="174">
        <f>IF(AND(Limits!$Q$22=TRUE,Daten!K257=1)=TRUE,1,0)</f>
        <v>0</v>
      </c>
      <c r="K257" s="188">
        <f>IF(Daten!$V257=13,1,0)</f>
        <v>1</v>
      </c>
      <c r="L257" s="189">
        <f>IF(Daten!$V257&lt;&gt;Daten!$W257,1,IF(Daten!$V257=14,1,0))</f>
        <v>1</v>
      </c>
      <c r="M257" s="189">
        <f>IF(Daten!$V257&lt;&gt;Daten!$W257,1,IF(Daten!$V257=16,1,0))</f>
        <v>1</v>
      </c>
      <c r="N257" s="189">
        <f>IF(Daten!$W257=17,1,0)</f>
        <v>1</v>
      </c>
      <c r="O257" s="190">
        <f ca="1">IF(Daten!$X257=Sprache!$A$70,1,0)</f>
        <v>0</v>
      </c>
      <c r="P257" s="191">
        <f>IF(AND(Daten!$AQ257&lt;=KINVARO!$AW$3,Daten!$AR257&gt;=KINVARO!$AW$3)=TRUE,1,0)</f>
        <v>1</v>
      </c>
      <c r="Q257" s="192">
        <f>IF(AND(Daten!$AA257&lt;=KINVARO!$AW$4,Daten!$AB257&gt;=KINVARO!$AW$4)=TRUE,1,0)</f>
        <v>0</v>
      </c>
      <c r="R257" s="192"/>
      <c r="S257" s="192">
        <f>IF(AND(Daten!$AD257&lt;=Limits!$I$70,Daten!$AE257&gt;=Limits!$I$70)=TRUE,1,0)</f>
        <v>0</v>
      </c>
      <c r="T257" s="193">
        <f ca="1">IF(Daten!$Y257=Sprache!$A$135,1,0)</f>
        <v>0</v>
      </c>
      <c r="U257" s="124" t="str">
        <f ca="1">Sprache!$A$64</f>
        <v>T-76 Поворотный подъемник</v>
      </c>
      <c r="V257" s="194">
        <v>13</v>
      </c>
      <c r="W257" s="193">
        <v>17</v>
      </c>
      <c r="X257" s="187" t="str">
        <f ca="1">Sprache!$A$142</f>
        <v>Alu (Rahmen 19mm)</v>
      </c>
      <c r="Y257" s="187" t="str">
        <f ca="1">Sprache!$A$136</f>
        <v>nein</v>
      </c>
      <c r="Z257" s="187" t="str">
        <f ca="1">Sprache!$A$79</f>
        <v>Створка</v>
      </c>
      <c r="AA257" s="187">
        <v>600</v>
      </c>
      <c r="AB257" s="124">
        <v>600</v>
      </c>
      <c r="AC257" s="187"/>
      <c r="AD257" s="195">
        <v>5.2</v>
      </c>
      <c r="AE257" s="196">
        <v>7</v>
      </c>
      <c r="AF257" s="263" t="str">
        <f>MID(Tabelle2[[#This Row],[bnr full]],1,4)</f>
        <v>F151</v>
      </c>
      <c r="AG257" s="264" t="str">
        <f>MID(Tabelle2[[#This Row],[bnr full]],5,3)</f>
        <v>147</v>
      </c>
      <c r="AH257" s="265" t="str">
        <f>MID(Tabelle2[[#This Row],[bnr full]],8,3)</f>
        <v>706</v>
      </c>
      <c r="AI257" s="264" t="str">
        <f>MID(Tabelle2[[#This Row],[bnr full]],11,3)</f>
        <v>201</v>
      </c>
      <c r="AJ257" s="252" t="str">
        <f>MID(Tabelle2[[#This Row],[bnr full]],11,3)</f>
        <v>201</v>
      </c>
      <c r="AK257" s="197" t="s">
        <v>792</v>
      </c>
      <c r="AL257" s="124" t="str">
        <f ca="1">Sprache!$A$111</f>
        <v>Комплект (Л + П)</v>
      </c>
      <c r="AM257" s="187" t="s">
        <v>25</v>
      </c>
      <c r="AN257" s="187" t="str">
        <f ca="1">Sprache!$A$125</f>
        <v>Пружина, стандарт</v>
      </c>
      <c r="AO257" s="187" t="str">
        <f ca="1">Sprache!$A$145</f>
        <v>Адаптер под алюминиевые рамки к комплекту Kinvaro T-76</v>
      </c>
      <c r="AP257" s="187" t="s">
        <v>820</v>
      </c>
      <c r="AQ257" s="187">
        <f>Limits!$K$9</f>
        <v>200</v>
      </c>
      <c r="AR257" s="124">
        <v>1200</v>
      </c>
      <c r="AS257" s="187"/>
      <c r="AT257" s="124"/>
    </row>
    <row r="258" spans="1:55" ht="15.75" hidden="1" thickTop="1" x14ac:dyDescent="0.25">
      <c r="A258" s="12" t="str">
        <f ca="1">IF(F258+G258+H258+I258+J258+D258+E258=3,IF(Tabelle2[[#This Row],[Kappe Weiß]]=Limits!$R$29,1,""),"")</f>
        <v/>
      </c>
      <c r="B258" s="12" t="str">
        <f ca="1">IF(G258+H258+I258+J258+E258+F258=2,IF(Tabelle2[[#This Row],[Kappe Weiß]]=Limits!$R$29,1,""),"")</f>
        <v/>
      </c>
      <c r="C258" s="293">
        <v>1</v>
      </c>
      <c r="D258" s="171">
        <f>IF(Limits!$P$10=TRUE,1,0)</f>
        <v>0</v>
      </c>
      <c r="E258" s="172">
        <f>IF(Daten!$P258+Daten!$Q258+Daten!$S258=3,1,0)</f>
        <v>0</v>
      </c>
      <c r="F258" s="173">
        <f ca="1">IF(AND(Limits!$Q$21=TRUE,Daten!O258=1)=TRUE,1,0)</f>
        <v>1</v>
      </c>
      <c r="G258" s="174">
        <f ca="1">IF(AND(Limits!$Q$25=TRUE,Daten!N258=1)=TRUE,1,0)</f>
        <v>0</v>
      </c>
      <c r="H258" s="174">
        <f ca="1">IF(AND(Limits!$Q$24=TRUE,Daten!M258=1)=TRUE,1,0)</f>
        <v>0</v>
      </c>
      <c r="I258" s="174">
        <f ca="1">IF(AND(Limits!$Q$23=TRUE,Daten!L258=1)=TRUE,1,0)</f>
        <v>0</v>
      </c>
      <c r="J258" s="174">
        <f ca="1">IF(AND(Limits!$Q$22=TRUE,Daten!K258=1)=TRUE,1,0)</f>
        <v>0</v>
      </c>
      <c r="K258" s="188">
        <f ca="1">IF(Daten!$V258=13,1,0)</f>
        <v>0</v>
      </c>
      <c r="L258" s="189">
        <f ca="1">IF(Daten!$V258&lt;&gt;Daten!$W258,1,IF(Daten!$V258=14,1,0))</f>
        <v>0</v>
      </c>
      <c r="M258" s="189">
        <f ca="1">IF(Daten!$V258&lt;&gt;Daten!$W258,1,IF(Daten!$V258=16,1,0))</f>
        <v>0</v>
      </c>
      <c r="N258" s="189">
        <f ca="1">IF(Daten!$W258=17,1,0)</f>
        <v>0</v>
      </c>
      <c r="O258" s="190">
        <f ca="1">IF(Daten!$X258=Sprache!$A$70,1,0)</f>
        <v>1</v>
      </c>
      <c r="P258" s="208">
        <f>IF(AND(Daten!$AQ258&lt;=KINVARO!$AW$3,Daten!$AR258&gt;=KINVARO!$AW$3)=TRUE,1,0)</f>
        <v>1</v>
      </c>
      <c r="Q258" s="209">
        <f>IF(AND(Daten!$AA258&lt;=KINVARO!$AW$4,Daten!$AB258&gt;=KINVARO!$AW$4)=TRUE,1,0)</f>
        <v>0</v>
      </c>
      <c r="R258" s="209"/>
      <c r="S258" s="209">
        <f>IF(AND(Daten!$AD258&lt;=Limits!$I$70,Daten!$AE258&gt;=Limits!$I$70)=TRUE,1,0)</f>
        <v>1</v>
      </c>
      <c r="T258" s="210">
        <f ca="1">IF(Daten!$Y258=Sprache!$A$135,1,0)</f>
        <v>0</v>
      </c>
      <c r="U258" s="211" t="str">
        <f ca="1">Sprache!$A$64</f>
        <v>T-76 Поворотный подъемник</v>
      </c>
      <c r="V258" s="212" t="str">
        <f ca="1">Sprache!$A$74</f>
        <v>var</v>
      </c>
      <c r="W258" s="210" t="str">
        <f ca="1">Sprache!$A$74</f>
        <v>var</v>
      </c>
      <c r="X258" s="213" t="str">
        <f ca="1">Sprache!$A$70</f>
        <v>соединение с древесиной</v>
      </c>
      <c r="Y258" s="187" t="str">
        <f ca="1">Sprache!$A$136</f>
        <v>nein</v>
      </c>
      <c r="Z258" s="213" t="str">
        <f ca="1">Sprache!$A$79</f>
        <v>Створка</v>
      </c>
      <c r="AA258" s="213">
        <v>400</v>
      </c>
      <c r="AB258" s="211">
        <v>449</v>
      </c>
      <c r="AC258" s="213"/>
      <c r="AD258" s="214">
        <v>7</v>
      </c>
      <c r="AE258" s="215">
        <v>11</v>
      </c>
      <c r="AF258" s="269" t="str">
        <f>MID(Tabelle2[[#This Row],[bnr full]],1,4)</f>
        <v>F151</v>
      </c>
      <c r="AG258" s="270" t="str">
        <f>MID(Tabelle2[[#This Row],[bnr full]],5,3)</f>
        <v>147</v>
      </c>
      <c r="AH258" s="271" t="str">
        <f>MID(Tabelle2[[#This Row],[bnr full]],8,3)</f>
        <v>817</v>
      </c>
      <c r="AI258" s="270" t="str">
        <f>MID(Tabelle2[[#This Row],[bnr full]],11,3)</f>
        <v>201</v>
      </c>
      <c r="AJ258" s="254" t="str">
        <f>MID(Tabelle2[[#This Row],[bnr full]],11,3)</f>
        <v>201</v>
      </c>
      <c r="AK258" s="216" t="s">
        <v>1655</v>
      </c>
      <c r="AL258" s="211" t="str">
        <f ca="1">Sprache!$A$111</f>
        <v>Комплект (Л + П)</v>
      </c>
      <c r="AM258" s="213" t="s">
        <v>25</v>
      </c>
      <c r="AN258" s="213" t="str">
        <f ca="1">Sprache!$A$125</f>
        <v>Пружина, стандарт</v>
      </c>
      <c r="AO258" s="187" t="s">
        <v>25</v>
      </c>
      <c r="AP258" s="187" t="s">
        <v>25</v>
      </c>
      <c r="AQ258" s="213">
        <f>Limits!$K$9</f>
        <v>200</v>
      </c>
      <c r="AR258" s="211">
        <v>1200</v>
      </c>
      <c r="AS258" s="187"/>
      <c r="AT258" s="124"/>
      <c r="AU258"/>
      <c r="AV258"/>
      <c r="AY258"/>
      <c r="AZ258"/>
      <c r="BA258"/>
      <c r="BB258"/>
      <c r="BC258"/>
    </row>
    <row r="259" spans="1:55" hidden="1" x14ac:dyDescent="0.25">
      <c r="A259" s="12" t="str">
        <f ca="1">IF(F259+G259+H259+I259+J259+D259+E259=3,IF(Tabelle2[[#This Row],[Kappe Weiß]]=Limits!$R$29,1,""),"")</f>
        <v/>
      </c>
      <c r="B259" s="12" t="str">
        <f ca="1">IF(G259+H259+I259+J259+E259+F259=2,IF(Tabelle2[[#This Row],[Kappe Weiß]]=Limits!$R$29,1,""),"")</f>
        <v/>
      </c>
      <c r="C259" s="291">
        <v>1</v>
      </c>
      <c r="D259" s="171">
        <f>IF(Limits!$P$10=TRUE,1,0)</f>
        <v>0</v>
      </c>
      <c r="E259" s="172">
        <f>IF(Daten!$P259+Daten!$Q259+Daten!$S259=3,1,0)</f>
        <v>0</v>
      </c>
      <c r="F259" s="173">
        <f ca="1">IF(AND(Limits!$Q$21=TRUE,Daten!O259=1)=TRUE,1,0)</f>
        <v>0</v>
      </c>
      <c r="G259" s="174">
        <f>IF(AND(Limits!$Q$25=TRUE,Daten!N259=1)=TRUE,1,0)</f>
        <v>0</v>
      </c>
      <c r="H259" s="174">
        <f>IF(AND(Limits!$Q$24=TRUE,Daten!M259=1)=TRUE,1,0)</f>
        <v>0</v>
      </c>
      <c r="I259" s="174">
        <f>IF(AND(Limits!$Q$23=TRUE,Daten!L259=1)=TRUE,1,0)</f>
        <v>0</v>
      </c>
      <c r="J259" s="174">
        <f>IF(AND(Limits!$Q$22=TRUE,Daten!K259=1)=TRUE,1,0)</f>
        <v>0</v>
      </c>
      <c r="K259" s="188">
        <f>IF(Daten!$V259=13,1,0)</f>
        <v>1</v>
      </c>
      <c r="L259" s="189">
        <f>IF(Daten!$V259&lt;&gt;Daten!$W259,1,IF(Daten!$V259=14,1,0))</f>
        <v>1</v>
      </c>
      <c r="M259" s="189">
        <f>IF(Daten!$V259&lt;&gt;Daten!$W259,1,IF(Daten!$V259=16,1,0))</f>
        <v>1</v>
      </c>
      <c r="N259" s="189">
        <f>IF(Daten!$W259=17,1,0)</f>
        <v>1</v>
      </c>
      <c r="O259" s="190">
        <f ca="1">IF(Daten!$X259=Sprache!$A$70,1,0)</f>
        <v>0</v>
      </c>
      <c r="P259" s="191">
        <f>IF(AND(Daten!$AQ259&lt;=KINVARO!$AW$3,Daten!$AR259&gt;=KINVARO!$AW$3)=TRUE,1,0)</f>
        <v>1</v>
      </c>
      <c r="Q259" s="192">
        <f>IF(AND(Daten!$AA259&lt;=KINVARO!$AW$4,Daten!$AB259&gt;=KINVARO!$AW$4)=TRUE,1,0)</f>
        <v>0</v>
      </c>
      <c r="R259" s="192"/>
      <c r="S259" s="192">
        <f>IF(AND(Daten!$AD259&lt;=Limits!$I$70,Daten!$AE259&gt;=Limits!$I$70)=TRUE,1,0)</f>
        <v>1</v>
      </c>
      <c r="T259" s="193">
        <f ca="1">IF(Daten!$Y259=Sprache!$A$135,1,0)</f>
        <v>0</v>
      </c>
      <c r="U259" s="124" t="str">
        <f ca="1">Sprache!$A$64</f>
        <v>T-76 Поворотный подъемник</v>
      </c>
      <c r="V259" s="194">
        <v>13</v>
      </c>
      <c r="W259" s="193">
        <v>17</v>
      </c>
      <c r="X259" s="187" t="str">
        <f ca="1">Sprache!$A$142</f>
        <v>Alu (Rahmen 19mm)</v>
      </c>
      <c r="Y259" s="187" t="str">
        <f ca="1">Sprache!$A$136</f>
        <v>nein</v>
      </c>
      <c r="Z259" s="187" t="str">
        <f ca="1">Sprache!$A$79</f>
        <v>Створка</v>
      </c>
      <c r="AA259" s="187">
        <v>400</v>
      </c>
      <c r="AB259" s="124">
        <v>449</v>
      </c>
      <c r="AC259" s="187"/>
      <c r="AD259" s="195">
        <v>7</v>
      </c>
      <c r="AE259" s="196">
        <v>11</v>
      </c>
      <c r="AF259" s="263" t="str">
        <f>MID(Tabelle2[[#This Row],[bnr full]],1,4)</f>
        <v>F151</v>
      </c>
      <c r="AG259" s="264" t="str">
        <f>MID(Tabelle2[[#This Row],[bnr full]],5,3)</f>
        <v>147</v>
      </c>
      <c r="AH259" s="265" t="str">
        <f>MID(Tabelle2[[#This Row],[bnr full]],8,3)</f>
        <v>817</v>
      </c>
      <c r="AI259" s="264" t="str">
        <f>MID(Tabelle2[[#This Row],[bnr full]],11,3)</f>
        <v>201</v>
      </c>
      <c r="AJ259" s="252" t="str">
        <f>MID(Tabelle2[[#This Row],[bnr full]],11,3)</f>
        <v>201</v>
      </c>
      <c r="AK259" s="197" t="s">
        <v>1655</v>
      </c>
      <c r="AL259" s="124" t="str">
        <f ca="1">Sprache!$A$111</f>
        <v>Комплект (Л + П)</v>
      </c>
      <c r="AM259" s="187" t="s">
        <v>25</v>
      </c>
      <c r="AN259" s="187" t="str">
        <f ca="1">Sprache!$A$125</f>
        <v>Пружина, стандарт</v>
      </c>
      <c r="AO259" s="187" t="str">
        <f ca="1">Sprache!$A$145</f>
        <v>Адаптер под алюминиевые рамки к комплекту Kinvaro T-76</v>
      </c>
      <c r="AP259" s="187" t="s">
        <v>820</v>
      </c>
      <c r="AQ259" s="187">
        <f>Limits!$K$9</f>
        <v>200</v>
      </c>
      <c r="AR259" s="124">
        <v>1200</v>
      </c>
      <c r="AS259" s="187"/>
      <c r="AT259" s="124"/>
      <c r="AU259"/>
      <c r="AV259"/>
      <c r="AY259"/>
      <c r="AZ259"/>
      <c r="BA259"/>
      <c r="BB259"/>
      <c r="BC259"/>
    </row>
    <row r="260" spans="1:55" hidden="1" x14ac:dyDescent="0.25">
      <c r="A260" s="12" t="str">
        <f ca="1">IF(F260+G260+H260+I260+J260+D260+E260=3,IF(Tabelle2[[#This Row],[Kappe Weiß]]=Limits!$R$29,1,""),"")</f>
        <v/>
      </c>
      <c r="B260" s="12" t="str">
        <f ca="1">IF(G260+H260+I260+J260+E260+F260=2,IF(Tabelle2[[#This Row],[Kappe Weiß]]=Limits!$R$29,1,""),"")</f>
        <v/>
      </c>
      <c r="C260" s="292">
        <v>1</v>
      </c>
      <c r="D260" s="171">
        <f>IF(Limits!$P$10=TRUE,1,0)</f>
        <v>0</v>
      </c>
      <c r="E260" s="172">
        <f>IF(Daten!$P260+Daten!$Q260+Daten!$S260=3,1,0)</f>
        <v>0</v>
      </c>
      <c r="F260" s="173">
        <f ca="1">IF(AND(Limits!$Q$21=TRUE,Daten!O260=1)=TRUE,1,0)</f>
        <v>1</v>
      </c>
      <c r="G260" s="174">
        <f ca="1">IF(AND(Limits!$Q$25=TRUE,Daten!N260=1)=TRUE,1,0)</f>
        <v>0</v>
      </c>
      <c r="H260" s="174">
        <f ca="1">IF(AND(Limits!$Q$24=TRUE,Daten!M260=1)=TRUE,1,0)</f>
        <v>0</v>
      </c>
      <c r="I260" s="174">
        <f ca="1">IF(AND(Limits!$Q$23=TRUE,Daten!L260=1)=TRUE,1,0)</f>
        <v>0</v>
      </c>
      <c r="J260" s="174">
        <f ca="1">IF(AND(Limits!$Q$22=TRUE,Daten!K260=1)=TRUE,1,0)</f>
        <v>0</v>
      </c>
      <c r="K260" s="188">
        <f ca="1">IF(Daten!$V260=13,1,0)</f>
        <v>0</v>
      </c>
      <c r="L260" s="189">
        <f ca="1">IF(Daten!$V260&lt;&gt;Daten!$W260,1,IF(Daten!$V260=14,1,0))</f>
        <v>0</v>
      </c>
      <c r="M260" s="189">
        <f ca="1">IF(Daten!$V260&lt;&gt;Daten!$W260,1,IF(Daten!$V260=16,1,0))</f>
        <v>0</v>
      </c>
      <c r="N260" s="189">
        <f ca="1">IF(Daten!$W260=17,1,0)</f>
        <v>0</v>
      </c>
      <c r="O260" s="190">
        <f ca="1">IF(Daten!$X260=Sprache!$A$70,1,0)</f>
        <v>1</v>
      </c>
      <c r="P260" s="198">
        <f>IF(AND(Daten!$AQ260&lt;=KINVARO!$AW$3,Daten!$AR260&gt;=KINVARO!$AW$3)=TRUE,1,0)</f>
        <v>1</v>
      </c>
      <c r="Q260" s="199">
        <f>IF(AND(Daten!$AA260&lt;=KINVARO!$AW$4,Daten!$AB260&gt;=KINVARO!$AW$4)=TRUE,1,0)</f>
        <v>0</v>
      </c>
      <c r="R260" s="199"/>
      <c r="S260" s="199">
        <f>IF(AND(Daten!$AD260&lt;=Limits!$I$70,Daten!$AE260&gt;=Limits!$I$70)=TRUE,1,0)</f>
        <v>0</v>
      </c>
      <c r="T260" s="200">
        <f ca="1">IF(Daten!$Y260=Sprache!$A$135,1,0)</f>
        <v>0</v>
      </c>
      <c r="U260" s="201" t="str">
        <f ca="1">Sprache!$A$64</f>
        <v>T-76 Поворотный подъемник</v>
      </c>
      <c r="V260" s="202" t="str">
        <f ca="1">Sprache!$A$74</f>
        <v>var</v>
      </c>
      <c r="W260" s="200" t="str">
        <f ca="1">Sprache!$A$74</f>
        <v>var</v>
      </c>
      <c r="X260" s="203" t="str">
        <f ca="1">Sprache!$A$70</f>
        <v>соединение с древесиной</v>
      </c>
      <c r="Y260" s="187" t="str">
        <f ca="1">Sprache!$A$136</f>
        <v>nein</v>
      </c>
      <c r="Z260" s="203" t="str">
        <f ca="1">Sprache!$A$79</f>
        <v>Створка</v>
      </c>
      <c r="AA260" s="203">
        <v>450</v>
      </c>
      <c r="AB260" s="201">
        <v>499</v>
      </c>
      <c r="AC260" s="203"/>
      <c r="AD260" s="204">
        <v>6.7</v>
      </c>
      <c r="AE260" s="205">
        <v>9.6</v>
      </c>
      <c r="AF260" s="266" t="str">
        <f>MID(Tabelle2[[#This Row],[bnr full]],1,4)</f>
        <v>F151</v>
      </c>
      <c r="AG260" s="267" t="str">
        <f>MID(Tabelle2[[#This Row],[bnr full]],5,3)</f>
        <v>147</v>
      </c>
      <c r="AH260" s="268" t="str">
        <f>MID(Tabelle2[[#This Row],[bnr full]],8,3)</f>
        <v>817</v>
      </c>
      <c r="AI260" s="267" t="str">
        <f>MID(Tabelle2[[#This Row],[bnr full]],11,3)</f>
        <v>201</v>
      </c>
      <c r="AJ260" s="253" t="str">
        <f>MID(Tabelle2[[#This Row],[bnr full]],11,3)</f>
        <v>201</v>
      </c>
      <c r="AK260" s="206" t="s">
        <v>1655</v>
      </c>
      <c r="AL260" s="201" t="str">
        <f ca="1">Sprache!$A$111</f>
        <v>Комплект (Л + П)</v>
      </c>
      <c r="AM260" s="203" t="s">
        <v>25</v>
      </c>
      <c r="AN260" s="203" t="str">
        <f ca="1">Sprache!$A$125</f>
        <v>Пружина, стандарт</v>
      </c>
      <c r="AO260" s="203" t="s">
        <v>25</v>
      </c>
      <c r="AP260" s="203" t="s">
        <v>25</v>
      </c>
      <c r="AQ260" s="203">
        <f>Limits!$K$9</f>
        <v>200</v>
      </c>
      <c r="AR260" s="201">
        <v>1200</v>
      </c>
      <c r="AS260" s="187"/>
      <c r="AT260" s="124"/>
      <c r="AU260"/>
      <c r="AV260"/>
      <c r="AY260"/>
      <c r="AZ260"/>
      <c r="BA260"/>
      <c r="BB260"/>
      <c r="BC260"/>
    </row>
    <row r="261" spans="1:55" hidden="1" x14ac:dyDescent="0.25">
      <c r="A261" s="12" t="str">
        <f ca="1">IF(F261+G261+H261+I261+J261+D261+E261=3,IF(Tabelle2[[#This Row],[Kappe Weiß]]=Limits!$R$29,1,""),"")</f>
        <v/>
      </c>
      <c r="B261" s="12" t="str">
        <f ca="1">IF(G261+H261+I261+J261+E261+F261=2,IF(Tabelle2[[#This Row],[Kappe Weiß]]=Limits!$R$29,1,""),"")</f>
        <v/>
      </c>
      <c r="C261" s="291">
        <v>1</v>
      </c>
      <c r="D261" s="171">
        <f>IF(Limits!$P$10=TRUE,1,0)</f>
        <v>0</v>
      </c>
      <c r="E261" s="172">
        <f>IF(Daten!$P261+Daten!$Q261+Daten!$S261=3,1,0)</f>
        <v>0</v>
      </c>
      <c r="F261" s="173">
        <f ca="1">IF(AND(Limits!$Q$21=TRUE,Daten!O261=1)=TRUE,1,0)</f>
        <v>0</v>
      </c>
      <c r="G261" s="174">
        <f>IF(AND(Limits!$Q$25=TRUE,Daten!N261=1)=TRUE,1,0)</f>
        <v>0</v>
      </c>
      <c r="H261" s="174">
        <f>IF(AND(Limits!$Q$24=TRUE,Daten!M261=1)=TRUE,1,0)</f>
        <v>0</v>
      </c>
      <c r="I261" s="174">
        <f>IF(AND(Limits!$Q$23=TRUE,Daten!L261=1)=TRUE,1,0)</f>
        <v>0</v>
      </c>
      <c r="J261" s="174">
        <f>IF(AND(Limits!$Q$22=TRUE,Daten!K261=1)=TRUE,1,0)</f>
        <v>0</v>
      </c>
      <c r="K261" s="188">
        <f>IF(Daten!$V261=13,1,0)</f>
        <v>1</v>
      </c>
      <c r="L261" s="189">
        <f>IF(Daten!$V261&lt;&gt;Daten!$W261,1,IF(Daten!$V261=14,1,0))</f>
        <v>1</v>
      </c>
      <c r="M261" s="189">
        <f>IF(Daten!$V261&lt;&gt;Daten!$W261,1,IF(Daten!$V261=16,1,0))</f>
        <v>1</v>
      </c>
      <c r="N261" s="189">
        <f>IF(Daten!$W261=17,1,0)</f>
        <v>1</v>
      </c>
      <c r="O261" s="190">
        <f ca="1">IF(Daten!$X261=Sprache!$A$70,1,0)</f>
        <v>0</v>
      </c>
      <c r="P261" s="191">
        <f>IF(AND(Daten!$AQ261&lt;=KINVARO!$AW$3,Daten!$AR261&gt;=KINVARO!$AW$3)=TRUE,1,0)</f>
        <v>1</v>
      </c>
      <c r="Q261" s="192">
        <f>IF(AND(Daten!$AA261&lt;=KINVARO!$AW$4,Daten!$AB261&gt;=KINVARO!$AW$4)=TRUE,1,0)</f>
        <v>0</v>
      </c>
      <c r="R261" s="192"/>
      <c r="S261" s="192">
        <f>IF(AND(Daten!$AD261&lt;=Limits!$I$70,Daten!$AE261&gt;=Limits!$I$70)=TRUE,1,0)</f>
        <v>0</v>
      </c>
      <c r="T261" s="193">
        <f ca="1">IF(Daten!$Y261=Sprache!$A$135,1,0)</f>
        <v>0</v>
      </c>
      <c r="U261" s="124" t="str">
        <f ca="1">Sprache!$A$64</f>
        <v>T-76 Поворотный подъемник</v>
      </c>
      <c r="V261" s="194">
        <v>13</v>
      </c>
      <c r="W261" s="193">
        <v>17</v>
      </c>
      <c r="X261" s="187" t="str">
        <f ca="1">Sprache!$A$142</f>
        <v>Alu (Rahmen 19mm)</v>
      </c>
      <c r="Y261" s="187" t="str">
        <f ca="1">Sprache!$A$136</f>
        <v>nein</v>
      </c>
      <c r="Z261" s="187" t="str">
        <f ca="1">Sprache!$A$79</f>
        <v>Створка</v>
      </c>
      <c r="AA261" s="187">
        <v>450</v>
      </c>
      <c r="AB261" s="124">
        <v>499</v>
      </c>
      <c r="AC261" s="187"/>
      <c r="AD261" s="195">
        <v>6.7</v>
      </c>
      <c r="AE261" s="196">
        <v>9.6</v>
      </c>
      <c r="AF261" s="263" t="str">
        <f>MID(Tabelle2[[#This Row],[bnr full]],1,4)</f>
        <v>F151</v>
      </c>
      <c r="AG261" s="264" t="str">
        <f>MID(Tabelle2[[#This Row],[bnr full]],5,3)</f>
        <v>147</v>
      </c>
      <c r="AH261" s="265" t="str">
        <f>MID(Tabelle2[[#This Row],[bnr full]],8,3)</f>
        <v>817</v>
      </c>
      <c r="AI261" s="264" t="str">
        <f>MID(Tabelle2[[#This Row],[bnr full]],11,3)</f>
        <v>201</v>
      </c>
      <c r="AJ261" s="252" t="str">
        <f>MID(Tabelle2[[#This Row],[bnr full]],11,3)</f>
        <v>201</v>
      </c>
      <c r="AK261" s="197" t="s">
        <v>1655</v>
      </c>
      <c r="AL261" s="124" t="str">
        <f ca="1">Sprache!$A$111</f>
        <v>Комплект (Л + П)</v>
      </c>
      <c r="AM261" s="187" t="s">
        <v>25</v>
      </c>
      <c r="AN261" s="187" t="str">
        <f ca="1">Sprache!$A$125</f>
        <v>Пружина, стандарт</v>
      </c>
      <c r="AO261" s="187" t="str">
        <f ca="1">Sprache!$A$145</f>
        <v>Адаптер под алюминиевые рамки к комплекту Kinvaro T-76</v>
      </c>
      <c r="AP261" s="187" t="s">
        <v>820</v>
      </c>
      <c r="AQ261" s="187">
        <f>Limits!$K$9</f>
        <v>200</v>
      </c>
      <c r="AR261" s="124">
        <v>1200</v>
      </c>
      <c r="AS261" s="187"/>
      <c r="AT261" s="124"/>
      <c r="AU261"/>
      <c r="AV261"/>
      <c r="AY261"/>
      <c r="AZ261"/>
      <c r="BA261"/>
      <c r="BB261"/>
      <c r="BC261"/>
    </row>
    <row r="262" spans="1:55" hidden="1" x14ac:dyDescent="0.25">
      <c r="A262" s="12" t="str">
        <f ca="1">IF(F262+G262+H262+I262+J262+D262+E262=3,IF(Tabelle2[[#This Row],[Kappe Weiß]]=Limits!$R$29,1,""),"")</f>
        <v/>
      </c>
      <c r="B262" s="12" t="str">
        <f ca="1">IF(G262+H262+I262+J262+E262+F262=2,IF(Tabelle2[[#This Row],[Kappe Weiß]]=Limits!$R$29,1,""),"")</f>
        <v/>
      </c>
      <c r="C262" s="292">
        <v>1</v>
      </c>
      <c r="D262" s="171">
        <f>IF(Limits!$P$10=TRUE,1,0)</f>
        <v>0</v>
      </c>
      <c r="E262" s="172">
        <f>IF(Daten!$P262+Daten!$Q262+Daten!$S262=3,1,0)</f>
        <v>0</v>
      </c>
      <c r="F262" s="173">
        <f ca="1">IF(AND(Limits!$Q$21=TRUE,Daten!O262=1)=TRUE,1,0)</f>
        <v>1</v>
      </c>
      <c r="G262" s="174">
        <f ca="1">IF(AND(Limits!$Q$25=TRUE,Daten!N262=1)=TRUE,1,0)</f>
        <v>0</v>
      </c>
      <c r="H262" s="174">
        <f ca="1">IF(AND(Limits!$Q$24=TRUE,Daten!M262=1)=TRUE,1,0)</f>
        <v>0</v>
      </c>
      <c r="I262" s="174">
        <f ca="1">IF(AND(Limits!$Q$23=TRUE,Daten!L262=1)=TRUE,1,0)</f>
        <v>0</v>
      </c>
      <c r="J262" s="174">
        <f ca="1">IF(AND(Limits!$Q$22=TRUE,Daten!K262=1)=TRUE,1,0)</f>
        <v>0</v>
      </c>
      <c r="K262" s="188">
        <f ca="1">IF(Daten!$V262=13,1,0)</f>
        <v>0</v>
      </c>
      <c r="L262" s="189">
        <f ca="1">IF(Daten!$V262&lt;&gt;Daten!$W262,1,IF(Daten!$V262=14,1,0))</f>
        <v>0</v>
      </c>
      <c r="M262" s="189">
        <f ca="1">IF(Daten!$V262&lt;&gt;Daten!$W262,1,IF(Daten!$V262=16,1,0))</f>
        <v>0</v>
      </c>
      <c r="N262" s="189">
        <f ca="1">IF(Daten!$W262=17,1,0)</f>
        <v>0</v>
      </c>
      <c r="O262" s="190">
        <f ca="1">IF(Daten!$X262=Sprache!$A$70,1,0)</f>
        <v>1</v>
      </c>
      <c r="P262" s="198">
        <f>IF(AND(Daten!$AQ262&lt;=KINVARO!$AW$3,Daten!$AR262&gt;=KINVARO!$AW$3)=TRUE,1,0)</f>
        <v>1</v>
      </c>
      <c r="Q262" s="199">
        <f>IF(AND(Daten!$AA262&lt;=KINVARO!$AW$4,Daten!$AB262&gt;=KINVARO!$AW$4)=TRUE,1,0)</f>
        <v>0</v>
      </c>
      <c r="R262" s="199"/>
      <c r="S262" s="199">
        <f>IF(AND(Daten!$AD262&lt;=Limits!$I$70,Daten!$AE262&gt;=Limits!$I$70)=TRUE,1,0)</f>
        <v>0</v>
      </c>
      <c r="T262" s="200">
        <f ca="1">IF(Daten!$Y262=Sprache!$A$135,1,0)</f>
        <v>0</v>
      </c>
      <c r="U262" s="201" t="str">
        <f ca="1">Sprache!$A$64</f>
        <v>T-76 Поворотный подъемник</v>
      </c>
      <c r="V262" s="202" t="str">
        <f ca="1">Sprache!$A$74</f>
        <v>var</v>
      </c>
      <c r="W262" s="200" t="str">
        <f ca="1">Sprache!$A$74</f>
        <v>var</v>
      </c>
      <c r="X262" s="203" t="str">
        <f ca="1">Sprache!$A$70</f>
        <v>соединение с древесиной</v>
      </c>
      <c r="Y262" s="187" t="str">
        <f ca="1">Sprache!$A$136</f>
        <v>nein</v>
      </c>
      <c r="Z262" s="203" t="str">
        <f ca="1">Sprache!$A$79</f>
        <v>Створка</v>
      </c>
      <c r="AA262" s="203">
        <v>500</v>
      </c>
      <c r="AB262" s="201">
        <v>549</v>
      </c>
      <c r="AC262" s="203"/>
      <c r="AD262" s="204">
        <v>5.8</v>
      </c>
      <c r="AE262" s="205">
        <v>8.5</v>
      </c>
      <c r="AF262" s="266" t="str">
        <f>MID(Tabelle2[[#This Row],[bnr full]],1,4)</f>
        <v>F151</v>
      </c>
      <c r="AG262" s="267" t="str">
        <f>MID(Tabelle2[[#This Row],[bnr full]],5,3)</f>
        <v>147</v>
      </c>
      <c r="AH262" s="268" t="str">
        <f>MID(Tabelle2[[#This Row],[bnr full]],8,3)</f>
        <v>817</v>
      </c>
      <c r="AI262" s="267" t="str">
        <f>MID(Tabelle2[[#This Row],[bnr full]],11,3)</f>
        <v>201</v>
      </c>
      <c r="AJ262" s="253" t="str">
        <f>MID(Tabelle2[[#This Row],[bnr full]],11,3)</f>
        <v>201</v>
      </c>
      <c r="AK262" s="206" t="s">
        <v>1655</v>
      </c>
      <c r="AL262" s="201" t="str">
        <f ca="1">Sprache!$A$111</f>
        <v>Комплект (Л + П)</v>
      </c>
      <c r="AM262" s="203" t="s">
        <v>25</v>
      </c>
      <c r="AN262" s="203" t="str">
        <f ca="1">Sprache!$A$125</f>
        <v>Пружина, стандарт</v>
      </c>
      <c r="AO262" s="203" t="s">
        <v>25</v>
      </c>
      <c r="AP262" s="203" t="s">
        <v>25</v>
      </c>
      <c r="AQ262" s="203">
        <f>Limits!$K$9</f>
        <v>200</v>
      </c>
      <c r="AR262" s="201">
        <v>1200</v>
      </c>
      <c r="AS262" s="187"/>
      <c r="AT262" s="124"/>
      <c r="AU262"/>
      <c r="AV262"/>
      <c r="AY262"/>
      <c r="AZ262"/>
      <c r="BA262"/>
      <c r="BB262"/>
      <c r="BC262"/>
    </row>
    <row r="263" spans="1:55" hidden="1" x14ac:dyDescent="0.25">
      <c r="A263" s="12" t="str">
        <f ca="1">IF(F263+G263+H263+I263+J263+D263+E263=3,IF(Tabelle2[[#This Row],[Kappe Weiß]]=Limits!$R$29,1,""),"")</f>
        <v/>
      </c>
      <c r="B263" s="12" t="str">
        <f ca="1">IF(G263+H263+I263+J263+E263+F263=2,IF(Tabelle2[[#This Row],[Kappe Weiß]]=Limits!$R$29,1,""),"")</f>
        <v/>
      </c>
      <c r="C263" s="291">
        <v>1</v>
      </c>
      <c r="D263" s="171">
        <f>IF(Limits!$P$10=TRUE,1,0)</f>
        <v>0</v>
      </c>
      <c r="E263" s="172">
        <f>IF(Daten!$P263+Daten!$Q263+Daten!$S263=3,1,0)</f>
        <v>0</v>
      </c>
      <c r="F263" s="173">
        <f ca="1">IF(AND(Limits!$Q$21=TRUE,Daten!O263=1)=TRUE,1,0)</f>
        <v>0</v>
      </c>
      <c r="G263" s="174">
        <f>IF(AND(Limits!$Q$25=TRUE,Daten!N263=1)=TRUE,1,0)</f>
        <v>0</v>
      </c>
      <c r="H263" s="174">
        <f>IF(AND(Limits!$Q$24=TRUE,Daten!M263=1)=TRUE,1,0)</f>
        <v>0</v>
      </c>
      <c r="I263" s="174">
        <f>IF(AND(Limits!$Q$23=TRUE,Daten!L263=1)=TRUE,1,0)</f>
        <v>0</v>
      </c>
      <c r="J263" s="174">
        <f>IF(AND(Limits!$Q$22=TRUE,Daten!K263=1)=TRUE,1,0)</f>
        <v>0</v>
      </c>
      <c r="K263" s="188">
        <f>IF(Daten!$V263=13,1,0)</f>
        <v>1</v>
      </c>
      <c r="L263" s="189">
        <f>IF(Daten!$V263&lt;&gt;Daten!$W263,1,IF(Daten!$V263=14,1,0))</f>
        <v>1</v>
      </c>
      <c r="M263" s="189">
        <f>IF(Daten!$V263&lt;&gt;Daten!$W263,1,IF(Daten!$V263=16,1,0))</f>
        <v>1</v>
      </c>
      <c r="N263" s="189">
        <f>IF(Daten!$W263=17,1,0)</f>
        <v>1</v>
      </c>
      <c r="O263" s="190">
        <f ca="1">IF(Daten!$X263=Sprache!$A$70,1,0)</f>
        <v>0</v>
      </c>
      <c r="P263" s="191">
        <f>IF(AND(Daten!$AQ263&lt;=KINVARO!$AW$3,Daten!$AR263&gt;=KINVARO!$AW$3)=TRUE,1,0)</f>
        <v>1</v>
      </c>
      <c r="Q263" s="192">
        <f>IF(AND(Daten!$AA263&lt;=KINVARO!$AW$4,Daten!$AB263&gt;=KINVARO!$AW$4)=TRUE,1,0)</f>
        <v>0</v>
      </c>
      <c r="R263" s="192"/>
      <c r="S263" s="192">
        <f>IF(AND(Daten!$AD263&lt;=Limits!$I$70,Daten!$AE263&gt;=Limits!$I$70)=TRUE,1,0)</f>
        <v>0</v>
      </c>
      <c r="T263" s="193">
        <f ca="1">IF(Daten!$Y263=Sprache!$A$135,1,0)</f>
        <v>0</v>
      </c>
      <c r="U263" s="124" t="str">
        <f ca="1">Sprache!$A$64</f>
        <v>T-76 Поворотный подъемник</v>
      </c>
      <c r="V263" s="194">
        <v>13</v>
      </c>
      <c r="W263" s="193">
        <v>17</v>
      </c>
      <c r="X263" s="187" t="str">
        <f ca="1">Sprache!$A$142</f>
        <v>Alu (Rahmen 19mm)</v>
      </c>
      <c r="Y263" s="187" t="str">
        <f ca="1">Sprache!$A$136</f>
        <v>nein</v>
      </c>
      <c r="Z263" s="187" t="str">
        <f ca="1">Sprache!$A$79</f>
        <v>Створка</v>
      </c>
      <c r="AA263" s="187">
        <v>500</v>
      </c>
      <c r="AB263" s="124">
        <v>549</v>
      </c>
      <c r="AC263" s="187"/>
      <c r="AD263" s="195">
        <v>5.8</v>
      </c>
      <c r="AE263" s="196">
        <v>8.5</v>
      </c>
      <c r="AF263" s="263" t="str">
        <f>MID(Tabelle2[[#This Row],[bnr full]],1,4)</f>
        <v>F151</v>
      </c>
      <c r="AG263" s="264" t="str">
        <f>MID(Tabelle2[[#This Row],[bnr full]],5,3)</f>
        <v>147</v>
      </c>
      <c r="AH263" s="265" t="str">
        <f>MID(Tabelle2[[#This Row],[bnr full]],8,3)</f>
        <v>817</v>
      </c>
      <c r="AI263" s="264" t="str">
        <f>MID(Tabelle2[[#This Row],[bnr full]],11,3)</f>
        <v>201</v>
      </c>
      <c r="AJ263" s="252" t="str">
        <f>MID(Tabelle2[[#This Row],[bnr full]],11,3)</f>
        <v>201</v>
      </c>
      <c r="AK263" s="197" t="s">
        <v>1655</v>
      </c>
      <c r="AL263" s="124" t="str">
        <f ca="1">Sprache!$A$111</f>
        <v>Комплект (Л + П)</v>
      </c>
      <c r="AM263" s="187" t="s">
        <v>25</v>
      </c>
      <c r="AN263" s="187" t="str">
        <f ca="1">Sprache!$A$125</f>
        <v>Пружина, стандарт</v>
      </c>
      <c r="AO263" s="187" t="str">
        <f ca="1">Sprache!$A$145</f>
        <v>Адаптер под алюминиевые рамки к комплекту Kinvaro T-76</v>
      </c>
      <c r="AP263" s="225" t="s">
        <v>821</v>
      </c>
      <c r="AQ263" s="187">
        <f>Limits!$K$9</f>
        <v>200</v>
      </c>
      <c r="AR263" s="124">
        <v>1200</v>
      </c>
      <c r="AS263" s="187"/>
      <c r="AT263" s="124"/>
      <c r="AU263"/>
      <c r="AV263"/>
      <c r="AY263"/>
      <c r="AZ263"/>
      <c r="BA263"/>
      <c r="BB263"/>
      <c r="BC263"/>
    </row>
    <row r="264" spans="1:55" hidden="1" x14ac:dyDescent="0.25">
      <c r="A264" s="12" t="str">
        <f ca="1">IF(F264+G264+H264+I264+J264+D264+E264=3,IF(Tabelle2[[#This Row],[Kappe Weiß]]=Limits!$R$29,1,""),"")</f>
        <v/>
      </c>
      <c r="B264" s="12" t="str">
        <f ca="1">IF(G264+H264+I264+J264+E264+F264=2,IF(Tabelle2[[#This Row],[Kappe Weiß]]=Limits!$R$29,1,""),"")</f>
        <v/>
      </c>
      <c r="C264" s="292">
        <v>1</v>
      </c>
      <c r="D264" s="171">
        <f>IF(Limits!$P$10=TRUE,1,0)</f>
        <v>0</v>
      </c>
      <c r="E264" s="172">
        <f>IF(Daten!$P264+Daten!$Q264+Daten!$S264=3,1,0)</f>
        <v>0</v>
      </c>
      <c r="F264" s="173">
        <f ca="1">IF(AND(Limits!$Q$21=TRUE,Daten!O264=1)=TRUE,1,0)</f>
        <v>1</v>
      </c>
      <c r="G264" s="174">
        <f ca="1">IF(AND(Limits!$Q$25=TRUE,Daten!N264=1)=TRUE,1,0)</f>
        <v>0</v>
      </c>
      <c r="H264" s="174">
        <f ca="1">IF(AND(Limits!$Q$24=TRUE,Daten!M264=1)=TRUE,1,0)</f>
        <v>0</v>
      </c>
      <c r="I264" s="174">
        <f ca="1">IF(AND(Limits!$Q$23=TRUE,Daten!L264=1)=TRUE,1,0)</f>
        <v>0</v>
      </c>
      <c r="J264" s="174">
        <f ca="1">IF(AND(Limits!$Q$22=TRUE,Daten!K264=1)=TRUE,1,0)</f>
        <v>0</v>
      </c>
      <c r="K264" s="188">
        <f ca="1">IF(Daten!$V264=13,1,0)</f>
        <v>0</v>
      </c>
      <c r="L264" s="189">
        <f ca="1">IF(Daten!$V264&lt;&gt;Daten!$W264,1,IF(Daten!$V264=14,1,0))</f>
        <v>0</v>
      </c>
      <c r="M264" s="189">
        <f ca="1">IF(Daten!$V264&lt;&gt;Daten!$W264,1,IF(Daten!$V264=16,1,0))</f>
        <v>0</v>
      </c>
      <c r="N264" s="189">
        <f ca="1">IF(Daten!$W264=17,1,0)</f>
        <v>0</v>
      </c>
      <c r="O264" s="190">
        <f ca="1">IF(Daten!$X264=Sprache!$A$70,1,0)</f>
        <v>1</v>
      </c>
      <c r="P264" s="198">
        <f>IF(AND(Daten!$AQ264&lt;=KINVARO!$AW$3,Daten!$AR264&gt;=KINVARO!$AW$3)=TRUE,1,0)</f>
        <v>1</v>
      </c>
      <c r="Q264" s="199">
        <f>IF(AND(Daten!$AA264&lt;=KINVARO!$AW$4,Daten!$AB264&gt;=KINVARO!$AW$4)=TRUE,1,0)</f>
        <v>0</v>
      </c>
      <c r="R264" s="199"/>
      <c r="S264" s="199">
        <f>IF(AND(Daten!$AD264&lt;=Limits!$I$70,Daten!$AE264&gt;=Limits!$I$70)=TRUE,1,0)</f>
        <v>0</v>
      </c>
      <c r="T264" s="200">
        <f ca="1">IF(Daten!$Y264=Sprache!$A$135,1,0)</f>
        <v>0</v>
      </c>
      <c r="U264" s="201" t="str">
        <f ca="1">Sprache!$A$64</f>
        <v>T-76 Поворотный подъемник</v>
      </c>
      <c r="V264" s="202" t="str">
        <f ca="1">Sprache!$A$74</f>
        <v>var</v>
      </c>
      <c r="W264" s="200" t="str">
        <f ca="1">Sprache!$A$74</f>
        <v>var</v>
      </c>
      <c r="X264" s="203" t="str">
        <f ca="1">Sprache!$A$70</f>
        <v>соединение с древесиной</v>
      </c>
      <c r="Y264" s="187" t="str">
        <f ca="1">Sprache!$A$136</f>
        <v>nein</v>
      </c>
      <c r="Z264" s="203" t="str">
        <f ca="1">Sprache!$A$79</f>
        <v>Створка</v>
      </c>
      <c r="AA264" s="203">
        <v>550</v>
      </c>
      <c r="AB264" s="201">
        <v>599</v>
      </c>
      <c r="AC264" s="203"/>
      <c r="AD264" s="204">
        <v>5.6</v>
      </c>
      <c r="AE264" s="205">
        <v>7.6</v>
      </c>
      <c r="AF264" s="266" t="str">
        <f>MID(Tabelle2[[#This Row],[bnr full]],1,4)</f>
        <v>F151</v>
      </c>
      <c r="AG264" s="267" t="str">
        <f>MID(Tabelle2[[#This Row],[bnr full]],5,3)</f>
        <v>147</v>
      </c>
      <c r="AH264" s="268" t="str">
        <f>MID(Tabelle2[[#This Row],[bnr full]],8,3)</f>
        <v>817</v>
      </c>
      <c r="AI264" s="267" t="str">
        <f>MID(Tabelle2[[#This Row],[bnr full]],11,3)</f>
        <v>201</v>
      </c>
      <c r="AJ264" s="253" t="str">
        <f>MID(Tabelle2[[#This Row],[bnr full]],11,3)</f>
        <v>201</v>
      </c>
      <c r="AK264" s="206" t="s">
        <v>1655</v>
      </c>
      <c r="AL264" s="201" t="str">
        <f ca="1">Sprache!$A$111</f>
        <v>Комплект (Л + П)</v>
      </c>
      <c r="AM264" s="203" t="s">
        <v>25</v>
      </c>
      <c r="AN264" s="203" t="str">
        <f ca="1">Sprache!$A$125</f>
        <v>Пружина, стандарт</v>
      </c>
      <c r="AO264" s="203" t="s">
        <v>25</v>
      </c>
      <c r="AP264" s="203" t="s">
        <v>25</v>
      </c>
      <c r="AQ264" s="203">
        <f>Limits!$K$9</f>
        <v>200</v>
      </c>
      <c r="AR264" s="201">
        <v>1200</v>
      </c>
      <c r="AS264" s="187"/>
      <c r="AT264" s="124"/>
      <c r="AU264"/>
      <c r="AV264"/>
      <c r="AY264"/>
      <c r="AZ264"/>
      <c r="BA264"/>
      <c r="BB264"/>
      <c r="BC264"/>
    </row>
    <row r="265" spans="1:55" hidden="1" x14ac:dyDescent="0.25">
      <c r="A265" s="12" t="str">
        <f ca="1">IF(F265+G265+H265+I265+J265+D265+E265=3,IF(Tabelle2[[#This Row],[Kappe Weiß]]=Limits!$R$29,1,""),"")</f>
        <v/>
      </c>
      <c r="B265" s="12" t="str">
        <f ca="1">IF(G265+H265+I265+J265+E265+F265=2,IF(Tabelle2[[#This Row],[Kappe Weiß]]=Limits!$R$29,1,""),"")</f>
        <v/>
      </c>
      <c r="C265" s="291">
        <v>1</v>
      </c>
      <c r="D265" s="171">
        <f>IF(Limits!$P$10=TRUE,1,0)</f>
        <v>0</v>
      </c>
      <c r="E265" s="172">
        <f>IF(Daten!$P265+Daten!$Q265+Daten!$S265=3,1,0)</f>
        <v>0</v>
      </c>
      <c r="F265" s="173">
        <f ca="1">IF(AND(Limits!$Q$21=TRUE,Daten!O265=1)=TRUE,1,0)</f>
        <v>0</v>
      </c>
      <c r="G265" s="174">
        <f>IF(AND(Limits!$Q$25=TRUE,Daten!N265=1)=TRUE,1,0)</f>
        <v>0</v>
      </c>
      <c r="H265" s="174">
        <f>IF(AND(Limits!$Q$24=TRUE,Daten!M265=1)=TRUE,1,0)</f>
        <v>0</v>
      </c>
      <c r="I265" s="174">
        <f>IF(AND(Limits!$Q$23=TRUE,Daten!L265=1)=TRUE,1,0)</f>
        <v>0</v>
      </c>
      <c r="J265" s="174">
        <f>IF(AND(Limits!$Q$22=TRUE,Daten!K265=1)=TRUE,1,0)</f>
        <v>0</v>
      </c>
      <c r="K265" s="188">
        <f>IF(Daten!$V265=13,1,0)</f>
        <v>1</v>
      </c>
      <c r="L265" s="189">
        <f>IF(Daten!$V265&lt;&gt;Daten!$W265,1,IF(Daten!$V265=14,1,0))</f>
        <v>1</v>
      </c>
      <c r="M265" s="189">
        <f>IF(Daten!$V265&lt;&gt;Daten!$W265,1,IF(Daten!$V265=16,1,0))</f>
        <v>1</v>
      </c>
      <c r="N265" s="189">
        <f>IF(Daten!$W265=17,1,0)</f>
        <v>1</v>
      </c>
      <c r="O265" s="190">
        <f ca="1">IF(Daten!$X265=Sprache!$A$70,1,0)</f>
        <v>0</v>
      </c>
      <c r="P265" s="191">
        <f>IF(AND(Daten!$AQ265&lt;=KINVARO!$AW$3,Daten!$AR265&gt;=KINVARO!$AW$3)=TRUE,1,0)</f>
        <v>1</v>
      </c>
      <c r="Q265" s="192">
        <f>IF(AND(Daten!$AA265&lt;=KINVARO!$AW$4,Daten!$AB265&gt;=KINVARO!$AW$4)=TRUE,1,0)</f>
        <v>0</v>
      </c>
      <c r="R265" s="192"/>
      <c r="S265" s="192">
        <f>IF(AND(Daten!$AD265&lt;=Limits!$I$70,Daten!$AE265&gt;=Limits!$I$70)=TRUE,1,0)</f>
        <v>0</v>
      </c>
      <c r="T265" s="193">
        <f ca="1">IF(Daten!$Y265=Sprache!$A$135,1,0)</f>
        <v>0</v>
      </c>
      <c r="U265" s="124" t="str">
        <f ca="1">Sprache!$A$64</f>
        <v>T-76 Поворотный подъемник</v>
      </c>
      <c r="V265" s="194">
        <v>13</v>
      </c>
      <c r="W265" s="193">
        <v>17</v>
      </c>
      <c r="X265" s="187" t="str">
        <f ca="1">Sprache!$A$142</f>
        <v>Alu (Rahmen 19mm)</v>
      </c>
      <c r="Y265" s="187" t="str">
        <f ca="1">Sprache!$A$136</f>
        <v>nein</v>
      </c>
      <c r="Z265" s="187" t="str">
        <f ca="1">Sprache!$A$79</f>
        <v>Створка</v>
      </c>
      <c r="AA265" s="187">
        <v>550</v>
      </c>
      <c r="AB265" s="124">
        <v>599</v>
      </c>
      <c r="AC265" s="187"/>
      <c r="AD265" s="195">
        <v>5.6</v>
      </c>
      <c r="AE265" s="196">
        <v>7.6</v>
      </c>
      <c r="AF265" s="263" t="str">
        <f>MID(Tabelle2[[#This Row],[bnr full]],1,4)</f>
        <v>F151</v>
      </c>
      <c r="AG265" s="264" t="str">
        <f>MID(Tabelle2[[#This Row],[bnr full]],5,3)</f>
        <v>147</v>
      </c>
      <c r="AH265" s="265" t="str">
        <f>MID(Tabelle2[[#This Row],[bnr full]],8,3)</f>
        <v>817</v>
      </c>
      <c r="AI265" s="264" t="str">
        <f>MID(Tabelle2[[#This Row],[bnr full]],11,3)</f>
        <v>201</v>
      </c>
      <c r="AJ265" s="252" t="str">
        <f>MID(Tabelle2[[#This Row],[bnr full]],11,3)</f>
        <v>201</v>
      </c>
      <c r="AK265" s="197" t="s">
        <v>1655</v>
      </c>
      <c r="AL265" s="124" t="str">
        <f ca="1">Sprache!$A$111</f>
        <v>Комплект (Л + П)</v>
      </c>
      <c r="AM265" s="187" t="s">
        <v>25</v>
      </c>
      <c r="AN265" s="187" t="str">
        <f ca="1">Sprache!$A$125</f>
        <v>Пружина, стандарт</v>
      </c>
      <c r="AO265" s="187" t="str">
        <f ca="1">Sprache!$A$145</f>
        <v>Адаптер под алюминиевые рамки к комплекту Kinvaro T-76</v>
      </c>
      <c r="AP265" s="225" t="s">
        <v>821</v>
      </c>
      <c r="AQ265" s="187">
        <f>Limits!$K$9</f>
        <v>200</v>
      </c>
      <c r="AR265" s="124">
        <v>1200</v>
      </c>
      <c r="AS265" s="187"/>
      <c r="AT265" s="124"/>
      <c r="AU265"/>
      <c r="AV265"/>
      <c r="AY265"/>
      <c r="AZ265"/>
      <c r="BA265"/>
      <c r="BB265"/>
      <c r="BC265"/>
    </row>
    <row r="266" spans="1:55" hidden="1" x14ac:dyDescent="0.25">
      <c r="A266" s="12" t="str">
        <f ca="1">IF(F266+G266+H266+I266+J266+D266+E266=3,IF(Tabelle2[[#This Row],[Kappe Weiß]]=Limits!$R$29,1,""),"")</f>
        <v/>
      </c>
      <c r="B266" s="12" t="str">
        <f ca="1">IF(G266+H266+I266+J266+E266+F266=2,IF(Tabelle2[[#This Row],[Kappe Weiß]]=Limits!$R$29,1,""),"")</f>
        <v/>
      </c>
      <c r="C266" s="292">
        <v>1</v>
      </c>
      <c r="D266" s="171">
        <f>IF(Limits!$P$10=TRUE,1,0)</f>
        <v>0</v>
      </c>
      <c r="E266" s="172">
        <f>IF(Daten!$P266+Daten!$Q266+Daten!$S266=3,1,0)</f>
        <v>0</v>
      </c>
      <c r="F266" s="173">
        <f ca="1">IF(AND(Limits!$Q$21=TRUE,Daten!O266=1)=TRUE,1,0)</f>
        <v>1</v>
      </c>
      <c r="G266" s="174">
        <f ca="1">IF(AND(Limits!$Q$25=TRUE,Daten!N266=1)=TRUE,1,0)</f>
        <v>0</v>
      </c>
      <c r="H266" s="174">
        <f ca="1">IF(AND(Limits!$Q$24=TRUE,Daten!M266=1)=TRUE,1,0)</f>
        <v>0</v>
      </c>
      <c r="I266" s="174">
        <f ca="1">IF(AND(Limits!$Q$23=TRUE,Daten!L266=1)=TRUE,1,0)</f>
        <v>0</v>
      </c>
      <c r="J266" s="174">
        <f ca="1">IF(AND(Limits!$Q$22=TRUE,Daten!K266=1)=TRUE,1,0)</f>
        <v>0</v>
      </c>
      <c r="K266" s="188">
        <f ca="1">IF(Daten!$V266=13,1,0)</f>
        <v>0</v>
      </c>
      <c r="L266" s="189">
        <f ca="1">IF(Daten!$V266&lt;&gt;Daten!$W266,1,IF(Daten!$V266=14,1,0))</f>
        <v>0</v>
      </c>
      <c r="M266" s="189">
        <f ca="1">IF(Daten!$V266&lt;&gt;Daten!$W266,1,IF(Daten!$V266=16,1,0))</f>
        <v>0</v>
      </c>
      <c r="N266" s="189">
        <f ca="1">IF(Daten!$W266=17,1,0)</f>
        <v>0</v>
      </c>
      <c r="O266" s="190">
        <f ca="1">IF(Daten!$X266=Sprache!$A$70,1,0)</f>
        <v>1</v>
      </c>
      <c r="P266" s="198">
        <f>IF(AND(Daten!$AQ266&lt;=KINVARO!$AW$3,Daten!$AR266&gt;=KINVARO!$AW$3)=TRUE,1,0)</f>
        <v>1</v>
      </c>
      <c r="Q266" s="199">
        <f>IF(AND(Daten!$AA266&lt;=KINVARO!$AW$4,Daten!$AB266&gt;=KINVARO!$AW$4)=TRUE,1,0)</f>
        <v>0</v>
      </c>
      <c r="R266" s="199"/>
      <c r="S266" s="199">
        <f>IF(AND(Daten!$AD266&lt;=Limits!$I$70,Daten!$AE266&gt;=Limits!$I$70)=TRUE,1,0)</f>
        <v>0</v>
      </c>
      <c r="T266" s="200">
        <f ca="1">IF(Daten!$Y266=Sprache!$A$135,1,0)</f>
        <v>0</v>
      </c>
      <c r="U266" s="201" t="str">
        <f ca="1">Sprache!$A$64</f>
        <v>T-76 Поворотный подъемник</v>
      </c>
      <c r="V266" s="202" t="str">
        <f ca="1">Sprache!$A$74</f>
        <v>var</v>
      </c>
      <c r="W266" s="200" t="str">
        <f ca="1">Sprache!$A$74</f>
        <v>var</v>
      </c>
      <c r="X266" s="203" t="str">
        <f ca="1">Sprache!$A$70</f>
        <v>соединение с древесиной</v>
      </c>
      <c r="Y266" s="187" t="str">
        <f ca="1">Sprache!$A$136</f>
        <v>nein</v>
      </c>
      <c r="Z266" s="203" t="str">
        <f ca="1">Sprache!$A$79</f>
        <v>Створка</v>
      </c>
      <c r="AA266" s="203">
        <v>600</v>
      </c>
      <c r="AB266" s="201">
        <v>600</v>
      </c>
      <c r="AC266" s="203"/>
      <c r="AD266" s="204">
        <v>5.2</v>
      </c>
      <c r="AE266" s="205">
        <v>7</v>
      </c>
      <c r="AF266" s="266" t="str">
        <f>MID(Tabelle2[[#This Row],[bnr full]],1,4)</f>
        <v>F151</v>
      </c>
      <c r="AG266" s="267" t="str">
        <f>MID(Tabelle2[[#This Row],[bnr full]],5,3)</f>
        <v>147</v>
      </c>
      <c r="AH266" s="268" t="str">
        <f>MID(Tabelle2[[#This Row],[bnr full]],8,3)</f>
        <v>817</v>
      </c>
      <c r="AI266" s="267" t="str">
        <f>MID(Tabelle2[[#This Row],[bnr full]],11,3)</f>
        <v>201</v>
      </c>
      <c r="AJ266" s="253" t="str">
        <f>MID(Tabelle2[[#This Row],[bnr full]],11,3)</f>
        <v>201</v>
      </c>
      <c r="AK266" s="206" t="s">
        <v>1655</v>
      </c>
      <c r="AL266" s="201" t="str">
        <f ca="1">Sprache!$A$111</f>
        <v>Комплект (Л + П)</v>
      </c>
      <c r="AM266" s="203" t="s">
        <v>25</v>
      </c>
      <c r="AN266" s="203" t="str">
        <f ca="1">Sprache!$A$125</f>
        <v>Пружина, стандарт</v>
      </c>
      <c r="AO266" s="203" t="s">
        <v>25</v>
      </c>
      <c r="AP266" s="203" t="s">
        <v>25</v>
      </c>
      <c r="AQ266" s="203">
        <f>Limits!$K$9</f>
        <v>200</v>
      </c>
      <c r="AR266" s="201">
        <v>1200</v>
      </c>
      <c r="AS266" s="187"/>
      <c r="AT266" s="124"/>
      <c r="AU266"/>
      <c r="AV266"/>
      <c r="AY266"/>
      <c r="AZ266"/>
      <c r="BA266"/>
      <c r="BB266"/>
      <c r="BC266"/>
    </row>
    <row r="267" spans="1:55" hidden="1" x14ac:dyDescent="0.25">
      <c r="A267" s="12" t="str">
        <f ca="1">IF(F267+G267+H267+I267+J267+D267+E267=3,IF(Tabelle2[[#This Row],[Kappe Weiß]]=Limits!$R$29,1,""),"")</f>
        <v/>
      </c>
      <c r="B267" s="12" t="str">
        <f ca="1">IF(G267+H267+I267+J267+E267+F267=2,IF(Tabelle2[[#This Row],[Kappe Weiß]]=Limits!$R$29,1,""),"")</f>
        <v/>
      </c>
      <c r="C267" s="291">
        <v>1</v>
      </c>
      <c r="D267" s="207">
        <f>IF(Limits!$P$10=TRUE,1,0)</f>
        <v>0</v>
      </c>
      <c r="E267" s="172">
        <f>IF(Daten!$P267+Daten!$Q267+Daten!$S267=3,1,0)</f>
        <v>0</v>
      </c>
      <c r="F267" s="173">
        <f ca="1">IF(AND(Limits!$Q$21=TRUE,Daten!O267=1)=TRUE,1,0)</f>
        <v>0</v>
      </c>
      <c r="G267" s="174">
        <f>IF(AND(Limits!$Q$25=TRUE,Daten!N267=1)=TRUE,1,0)</f>
        <v>0</v>
      </c>
      <c r="H267" s="174">
        <f>IF(AND(Limits!$Q$24=TRUE,Daten!M267=1)=TRUE,1,0)</f>
        <v>0</v>
      </c>
      <c r="I267" s="174">
        <f>IF(AND(Limits!$Q$23=TRUE,Daten!L267=1)=TRUE,1,0)</f>
        <v>0</v>
      </c>
      <c r="J267" s="174">
        <f>IF(AND(Limits!$Q$22=TRUE,Daten!K267=1)=TRUE,1,0)</f>
        <v>0</v>
      </c>
      <c r="K267" s="188">
        <f>IF(Daten!$V267=13,1,0)</f>
        <v>1</v>
      </c>
      <c r="L267" s="189">
        <f>IF(Daten!$V267&lt;&gt;Daten!$W267,1,IF(Daten!$V267=14,1,0))</f>
        <v>1</v>
      </c>
      <c r="M267" s="189">
        <f>IF(Daten!$V267&lt;&gt;Daten!$W267,1,IF(Daten!$V267=16,1,0))</f>
        <v>1</v>
      </c>
      <c r="N267" s="189">
        <f>IF(Daten!$W267=17,1,0)</f>
        <v>1</v>
      </c>
      <c r="O267" s="190">
        <f ca="1">IF(Daten!$X267=Sprache!$A$70,1,0)</f>
        <v>0</v>
      </c>
      <c r="P267" s="191">
        <f>IF(AND(Daten!$AQ267&lt;=KINVARO!$AW$3,Daten!$AR267&gt;=KINVARO!$AW$3)=TRUE,1,0)</f>
        <v>1</v>
      </c>
      <c r="Q267" s="192">
        <f>IF(AND(Daten!$AA267&lt;=KINVARO!$AW$4,Daten!$AB267&gt;=KINVARO!$AW$4)=TRUE,1,0)</f>
        <v>0</v>
      </c>
      <c r="R267" s="192"/>
      <c r="S267" s="192">
        <f>IF(AND(Daten!$AD267&lt;=Limits!$I$70,Daten!$AE267&gt;=Limits!$I$70)=TRUE,1,0)</f>
        <v>0</v>
      </c>
      <c r="T267" s="193">
        <f ca="1">IF(Daten!$Y267=Sprache!$A$135,1,0)</f>
        <v>0</v>
      </c>
      <c r="U267" s="124" t="str">
        <f ca="1">Sprache!$A$64</f>
        <v>T-76 Поворотный подъемник</v>
      </c>
      <c r="V267" s="194">
        <v>13</v>
      </c>
      <c r="W267" s="193">
        <v>17</v>
      </c>
      <c r="X267" s="187" t="str">
        <f ca="1">Sprache!$A$142</f>
        <v>Alu (Rahmen 19mm)</v>
      </c>
      <c r="Y267" s="187" t="str">
        <f ca="1">Sprache!$A$136</f>
        <v>nein</v>
      </c>
      <c r="Z267" s="187" t="str">
        <f ca="1">Sprache!$A$79</f>
        <v>Створка</v>
      </c>
      <c r="AA267" s="187">
        <v>600</v>
      </c>
      <c r="AB267" s="124">
        <v>600</v>
      </c>
      <c r="AC267" s="187"/>
      <c r="AD267" s="195">
        <v>5.2</v>
      </c>
      <c r="AE267" s="196">
        <v>7</v>
      </c>
      <c r="AF267" s="263" t="str">
        <f>MID(Tabelle2[[#This Row],[bnr full]],1,4)</f>
        <v>F151</v>
      </c>
      <c r="AG267" s="264" t="str">
        <f>MID(Tabelle2[[#This Row],[bnr full]],5,3)</f>
        <v>147</v>
      </c>
      <c r="AH267" s="265" t="str">
        <f>MID(Tabelle2[[#This Row],[bnr full]],8,3)</f>
        <v>817</v>
      </c>
      <c r="AI267" s="264" t="str">
        <f>MID(Tabelle2[[#This Row],[bnr full]],11,3)</f>
        <v>201</v>
      </c>
      <c r="AJ267" s="252" t="str">
        <f>MID(Tabelle2[[#This Row],[bnr full]],11,3)</f>
        <v>201</v>
      </c>
      <c r="AK267" s="197" t="s">
        <v>1655</v>
      </c>
      <c r="AL267" s="124" t="str">
        <f ca="1">Sprache!$A$111</f>
        <v>Комплект (Л + П)</v>
      </c>
      <c r="AM267" s="187" t="s">
        <v>25</v>
      </c>
      <c r="AN267" s="187" t="str">
        <f ca="1">Sprache!$A$125</f>
        <v>Пружина, стандарт</v>
      </c>
      <c r="AO267" s="187" t="str">
        <f ca="1">Sprache!$A$145</f>
        <v>Адаптер под алюминиевые рамки к комплекту Kinvaro T-76</v>
      </c>
      <c r="AP267" s="187" t="s">
        <v>820</v>
      </c>
      <c r="AQ267" s="187">
        <f>Limits!$K$9</f>
        <v>200</v>
      </c>
      <c r="AR267" s="124">
        <v>1200</v>
      </c>
      <c r="AS267" s="187"/>
      <c r="AT267" s="124"/>
      <c r="AU267"/>
      <c r="AV267"/>
      <c r="AY267"/>
      <c r="AZ267"/>
      <c r="BA267"/>
      <c r="BB267"/>
      <c r="BC267"/>
    </row>
    <row r="268" spans="1:55" ht="15.75" hidden="1" thickTop="1" x14ac:dyDescent="0.25">
      <c r="A268" s="12" t="str">
        <f ca="1">IF(F268+G268+H268+I268+J268+D268+E268=3,IF(Tabelle2[[#This Row],[Kappe Weiß]]=Limits!$R$29,1,""),"")</f>
        <v/>
      </c>
      <c r="B268" s="12" t="str">
        <f ca="1">IF(G268+H268+I268+J268+E268+F268=2,IF(Tabelle2[[#This Row],[Kappe Weiß]]=Limits!$R$29,1,""),"")</f>
        <v/>
      </c>
      <c r="C268" s="293">
        <v>0</v>
      </c>
      <c r="D268" s="171">
        <f>IF(Limits!$P$9=TRUE,1,0)</f>
        <v>0</v>
      </c>
      <c r="E268" s="172">
        <f>IF(Daten!$P268+Daten!$Q268+Daten!$S268=3,1,0)</f>
        <v>0</v>
      </c>
      <c r="F268" s="173">
        <f ca="1">IF(AND(Limits!$Q$21=TRUE,Daten!O268=1)=TRUE,1,0)</f>
        <v>1</v>
      </c>
      <c r="G268" s="174">
        <f ca="1">IF(AND(Limits!$Q$25=TRUE,Daten!N268=1)=TRUE,1,0)</f>
        <v>0</v>
      </c>
      <c r="H268" s="174">
        <f ca="1">IF(AND(Limits!$Q$24=TRUE,Daten!M268=1)=TRUE,1,0)</f>
        <v>0</v>
      </c>
      <c r="I268" s="174">
        <f ca="1">IF(AND(Limits!$Q$23=TRUE,Daten!L268=1)=TRUE,1,0)</f>
        <v>0</v>
      </c>
      <c r="J268" s="174">
        <f ca="1">IF(AND(Limits!$Q$22=TRUE,Daten!K268=1)=TRUE,1,0)</f>
        <v>0</v>
      </c>
      <c r="K268" s="188">
        <f ca="1">IF(Daten!$V268=13,1,0)</f>
        <v>0</v>
      </c>
      <c r="L268" s="189">
        <f ca="1">IF(Daten!$V268&lt;&gt;Daten!$W268,1,IF(Daten!$V268=14,1,0))</f>
        <v>0</v>
      </c>
      <c r="M268" s="189">
        <f ca="1">IF(Daten!$V268&lt;&gt;Daten!$W268,1,IF(Daten!$V268=16,1,0))</f>
        <v>0</v>
      </c>
      <c r="N268" s="189">
        <f ca="1">IF(Daten!$W268=17,1,0)</f>
        <v>0</v>
      </c>
      <c r="O268" s="190">
        <f ca="1">IF(Daten!$X268=Sprache!$A$70,1,0)</f>
        <v>1</v>
      </c>
      <c r="P268" s="208">
        <f>IF(AND(Daten!$AQ268&lt;=KINVARO!$AW$3,Daten!$AR268&gt;=KINVARO!$AW$3)=TRUE,1,0)</f>
        <v>1</v>
      </c>
      <c r="Q268" s="209">
        <f>IF(AND(Daten!$AA268&lt;=KINVARO!$AW$4,Daten!$AB268&gt;=KINVARO!$AW$4)=TRUE,1,0)</f>
        <v>0</v>
      </c>
      <c r="R268" s="209"/>
      <c r="S268" s="209">
        <f>IF(AND(Daten!$AD268&lt;=Limits!$I$70,Daten!$AE268&gt;=Limits!$I$70)=TRUE,1,0)</f>
        <v>1</v>
      </c>
      <c r="T268" s="210">
        <f ca="1">IF(Daten!$Y268=Sprache!$A$135,1,0)</f>
        <v>0</v>
      </c>
      <c r="U268" s="211" t="str">
        <f ca="1">Sprache!$A$65</f>
        <v>T-75 Поворотный подъемник</v>
      </c>
      <c r="V268" s="212" t="str">
        <f ca="1">Sprache!$A$74</f>
        <v>var</v>
      </c>
      <c r="W268" s="210" t="str">
        <f ca="1">Sprache!$A$74</f>
        <v>var</v>
      </c>
      <c r="X268" s="213" t="str">
        <f ca="1">Sprache!$A$70</f>
        <v>соединение с древесиной</v>
      </c>
      <c r="Y268" s="187" t="str">
        <f ca="1">Sprache!$A$136</f>
        <v>nein</v>
      </c>
      <c r="Z268" s="213" t="str">
        <f ca="1">Sprache!$A$79</f>
        <v>Створка</v>
      </c>
      <c r="AA268" s="213">
        <v>400</v>
      </c>
      <c r="AB268" s="211">
        <v>449</v>
      </c>
      <c r="AC268" s="213"/>
      <c r="AD268" s="214">
        <v>7</v>
      </c>
      <c r="AE268" s="215">
        <v>11</v>
      </c>
      <c r="AF268" s="269" t="str">
        <f>MID(Tabelle2[[#This Row],[bnr full]],1,4)</f>
        <v>F151</v>
      </c>
      <c r="AG268" s="270" t="str">
        <f>MID(Tabelle2[[#This Row],[bnr full]],5,3)</f>
        <v>147</v>
      </c>
      <c r="AH268" s="271" t="str">
        <f>MID(Tabelle2[[#This Row],[bnr full]],8,3)</f>
        <v>699</v>
      </c>
      <c r="AI268" s="270" t="str">
        <f>MID(Tabelle2[[#This Row],[bnr full]],11,3)</f>
        <v>201</v>
      </c>
      <c r="AJ268" s="254" t="str">
        <f>MID(Tabelle2[[#This Row],[bnr full]],11,3)</f>
        <v>201</v>
      </c>
      <c r="AK268" s="216" t="s">
        <v>793</v>
      </c>
      <c r="AL268" s="211" t="str">
        <f ca="1">Sprache!$A$111</f>
        <v>Комплект (Л + П)</v>
      </c>
      <c r="AM268" s="213" t="s">
        <v>25</v>
      </c>
      <c r="AN268" s="213" t="str">
        <f ca="1">Sprache!$A$125</f>
        <v>Пружина, стандарт</v>
      </c>
      <c r="AO268" s="213" t="s">
        <v>25</v>
      </c>
      <c r="AP268" s="213" t="s">
        <v>25</v>
      </c>
      <c r="AQ268" s="213">
        <f>Limits!$K$9</f>
        <v>200</v>
      </c>
      <c r="AR268" s="211">
        <v>1200</v>
      </c>
      <c r="AS268" s="187"/>
      <c r="AT268" s="124"/>
      <c r="AU268"/>
      <c r="AV268"/>
      <c r="AY268"/>
      <c r="AZ268"/>
      <c r="BA268"/>
      <c r="BB268"/>
      <c r="BC268"/>
    </row>
    <row r="269" spans="1:55" hidden="1" x14ac:dyDescent="0.25">
      <c r="A269" s="12" t="str">
        <f ca="1">IF(F269+G269+H269+I269+J269+D269+E269=3,IF(Tabelle2[[#This Row],[Kappe Weiß]]=Limits!$R$29,1,""),"")</f>
        <v/>
      </c>
      <c r="B269" s="12" t="str">
        <f ca="1">IF(G269+H269+I269+J269+E269+F269=2,IF(Tabelle2[[#This Row],[Kappe Weiß]]=Limits!$R$29,1,""),"")</f>
        <v/>
      </c>
      <c r="C269" s="291">
        <v>0</v>
      </c>
      <c r="D269" s="171">
        <f>IF(Limits!$P$9=TRUE,1,0)</f>
        <v>0</v>
      </c>
      <c r="E269" s="172">
        <f>IF(Daten!$P269+Daten!$Q269+Daten!$S269=3,1,0)</f>
        <v>0</v>
      </c>
      <c r="F269" s="173">
        <f ca="1">IF(AND(Limits!$Q$21=TRUE,Daten!O269=1)=TRUE,1,0)</f>
        <v>0</v>
      </c>
      <c r="G269" s="174">
        <f>IF(AND(Limits!$Q$25=TRUE,Daten!N269=1)=TRUE,1,0)</f>
        <v>0</v>
      </c>
      <c r="H269" s="174">
        <f>IF(AND(Limits!$Q$24=TRUE,Daten!M269=1)=TRUE,1,0)</f>
        <v>0</v>
      </c>
      <c r="I269" s="174">
        <f>IF(AND(Limits!$Q$23=TRUE,Daten!L269=1)=TRUE,1,0)</f>
        <v>0</v>
      </c>
      <c r="J269" s="174">
        <f>IF(AND(Limits!$Q$22=TRUE,Daten!K269=1)=TRUE,1,0)</f>
        <v>0</v>
      </c>
      <c r="K269" s="188">
        <f>IF(Daten!$V269=13,1,0)</f>
        <v>1</v>
      </c>
      <c r="L269" s="189">
        <f>IF(Daten!$V269&lt;&gt;Daten!$W269,1,IF(Daten!$V269=14,1,0))</f>
        <v>0</v>
      </c>
      <c r="M269" s="189">
        <f>IF(Daten!$V269&lt;&gt;Daten!$W269,1,IF(Daten!$V269=16,1,0))</f>
        <v>0</v>
      </c>
      <c r="N269" s="189">
        <f>IF(Daten!$W269=17,1,0)</f>
        <v>0</v>
      </c>
      <c r="O269" s="190">
        <f ca="1">IF(Daten!$X269=Sprache!$A$70,1,0)</f>
        <v>0</v>
      </c>
      <c r="P269" s="191">
        <f>IF(AND(Daten!$AQ269&lt;=KINVARO!$AW$3,Daten!$AR269&gt;=KINVARO!$AW$3)=TRUE,1,0)</f>
        <v>1</v>
      </c>
      <c r="Q269" s="192">
        <f>IF(AND(Daten!$AA269&lt;=KINVARO!$AW$4,Daten!$AB269&gt;=KINVARO!$AW$4)=TRUE,1,0)</f>
        <v>0</v>
      </c>
      <c r="R269" s="192"/>
      <c r="S269" s="192">
        <f>IF(AND(Daten!$AD269&lt;=Limits!$I$70,Daten!$AE269&gt;=Limits!$I$70)=TRUE,1,0)</f>
        <v>1</v>
      </c>
      <c r="T269" s="193">
        <f ca="1">IF(Daten!$Y269=Sprache!$A$135,1,0)</f>
        <v>0</v>
      </c>
      <c r="U269" s="124" t="str">
        <f ca="1">Sprache!$A$65</f>
        <v>T-75 Поворотный подъемник</v>
      </c>
      <c r="V269" s="194">
        <v>13</v>
      </c>
      <c r="W269" s="193">
        <v>13</v>
      </c>
      <c r="X269" s="187" t="str">
        <f ca="1">Sprache!$A$141</f>
        <v>Alu</v>
      </c>
      <c r="Y269" s="187" t="str">
        <f ca="1">Sprache!$A$136</f>
        <v>nein</v>
      </c>
      <c r="Z269" s="187" t="str">
        <f ca="1">Sprache!$A$79</f>
        <v>Створка</v>
      </c>
      <c r="AA269" s="187">
        <v>400</v>
      </c>
      <c r="AB269" s="124">
        <v>449</v>
      </c>
      <c r="AC269" s="187"/>
      <c r="AD269" s="195">
        <v>7</v>
      </c>
      <c r="AE269" s="196">
        <v>11</v>
      </c>
      <c r="AF269" s="263" t="str">
        <f>MID(Tabelle2[[#This Row],[bnr full]],1,4)</f>
        <v>F151</v>
      </c>
      <c r="AG269" s="264" t="str">
        <f>MID(Tabelle2[[#This Row],[bnr full]],5,3)</f>
        <v>147</v>
      </c>
      <c r="AH269" s="265" t="str">
        <f>MID(Tabelle2[[#This Row],[bnr full]],8,3)</f>
        <v>702</v>
      </c>
      <c r="AI269" s="264" t="str">
        <f>MID(Tabelle2[[#This Row],[bnr full]],11,3)</f>
        <v>201</v>
      </c>
      <c r="AJ269" s="252" t="str">
        <f>MID(Tabelle2[[#This Row],[bnr full]],11,3)</f>
        <v>201</v>
      </c>
      <c r="AK269" s="197" t="s">
        <v>794</v>
      </c>
      <c r="AL269" s="124" t="str">
        <f ca="1">Sprache!$A$111</f>
        <v>Комплект (Л + П)</v>
      </c>
      <c r="AM269" s="187" t="s">
        <v>25</v>
      </c>
      <c r="AN269" s="187" t="str">
        <f ca="1">Sprache!$A$125</f>
        <v>Пружина, стандарт</v>
      </c>
      <c r="AO269" s="187" t="s">
        <v>25</v>
      </c>
      <c r="AP269" s="187" t="s">
        <v>25</v>
      </c>
      <c r="AQ269" s="187">
        <f>Limits!$K$9</f>
        <v>200</v>
      </c>
      <c r="AR269" s="124">
        <v>1200</v>
      </c>
      <c r="AS269" s="187"/>
      <c r="AT269" s="124"/>
      <c r="AU269"/>
      <c r="AV269"/>
      <c r="AY269"/>
      <c r="AZ269"/>
      <c r="BA269"/>
      <c r="BB269"/>
      <c r="BC269"/>
    </row>
    <row r="270" spans="1:55" hidden="1" x14ac:dyDescent="0.25">
      <c r="A270" s="12" t="str">
        <f ca="1">IF(F270+G270+H270+I270+J270+D270+E270=3,IF(Tabelle2[[#This Row],[Kappe Weiß]]=Limits!$R$29,1,""),"")</f>
        <v/>
      </c>
      <c r="B270" s="12" t="str">
        <f ca="1">IF(G270+H270+I270+J270+E270+F270=2,IF(Tabelle2[[#This Row],[Kappe Weiß]]=Limits!$R$29,1,""),"")</f>
        <v/>
      </c>
      <c r="C270" s="291">
        <v>0</v>
      </c>
      <c r="D270" s="171">
        <f>IF(Limits!$P$9=TRUE,1,0)</f>
        <v>0</v>
      </c>
      <c r="E270" s="172">
        <f>IF(Daten!$P270+Daten!$Q270+Daten!$S270=3,1,0)</f>
        <v>0</v>
      </c>
      <c r="F270" s="173">
        <f ca="1">IF(AND(Limits!$Q$21=TRUE,Daten!O270=1)=TRUE,1,0)</f>
        <v>0</v>
      </c>
      <c r="G270" s="174">
        <f>IF(AND(Limits!$Q$25=TRUE,Daten!N270=1)=TRUE,1,0)</f>
        <v>0</v>
      </c>
      <c r="H270" s="174">
        <f>IF(AND(Limits!$Q$24=TRUE,Daten!M270=1)=TRUE,1,0)</f>
        <v>0</v>
      </c>
      <c r="I270" s="174">
        <f>IF(AND(Limits!$Q$23=TRUE,Daten!L270=1)=TRUE,1,0)</f>
        <v>0</v>
      </c>
      <c r="J270" s="174">
        <f>IF(AND(Limits!$Q$22=TRUE,Daten!K270=1)=TRUE,1,0)</f>
        <v>0</v>
      </c>
      <c r="K270" s="188">
        <f>IF(Daten!$V270=13,1,0)</f>
        <v>0</v>
      </c>
      <c r="L270" s="189">
        <f>IF(Daten!$V270&lt;&gt;Daten!$W270,1,IF(Daten!$V270=14,1,0))</f>
        <v>1</v>
      </c>
      <c r="M270" s="189">
        <f>IF(Daten!$V270&lt;&gt;Daten!$W270,1,IF(Daten!$V270=16,1,0))</f>
        <v>0</v>
      </c>
      <c r="N270" s="189">
        <f>IF(Daten!$W270=17,1,0)</f>
        <v>0</v>
      </c>
      <c r="O270" s="190">
        <f ca="1">IF(Daten!$X270=Sprache!$A$70,1,0)</f>
        <v>0</v>
      </c>
      <c r="P270" s="191">
        <f>IF(AND(Daten!$AQ270&lt;=KINVARO!$AW$3,Daten!$AR270&gt;=KINVARO!$AW$3)=TRUE,1,0)</f>
        <v>1</v>
      </c>
      <c r="Q270" s="192">
        <f>IF(AND(Daten!$AA270&lt;=KINVARO!$AW$4,Daten!$AB270&gt;=KINVARO!$AW$4)=TRUE,1,0)</f>
        <v>0</v>
      </c>
      <c r="R270" s="192"/>
      <c r="S270" s="192">
        <f>IF(AND(Daten!$AD270&lt;=Limits!$I$70,Daten!$AE270&gt;=Limits!$I$70)=TRUE,1,0)</f>
        <v>1</v>
      </c>
      <c r="T270" s="193">
        <f ca="1">IF(Daten!$Y270=Sprache!$A$135,1,0)</f>
        <v>0</v>
      </c>
      <c r="U270" s="124" t="str">
        <f ca="1">Sprache!$A$65</f>
        <v>T-75 Поворотный подъемник</v>
      </c>
      <c r="V270" s="194">
        <v>14</v>
      </c>
      <c r="W270" s="193">
        <v>14</v>
      </c>
      <c r="X270" s="187" t="str">
        <f ca="1">Sprache!$A$141</f>
        <v>Alu</v>
      </c>
      <c r="Y270" s="187" t="str">
        <f ca="1">Sprache!$A$136</f>
        <v>nein</v>
      </c>
      <c r="Z270" s="187" t="str">
        <f ca="1">Sprache!$A$79</f>
        <v>Створка</v>
      </c>
      <c r="AA270" s="187">
        <v>400</v>
      </c>
      <c r="AB270" s="124">
        <v>449</v>
      </c>
      <c r="AC270" s="187"/>
      <c r="AD270" s="195">
        <v>7</v>
      </c>
      <c r="AE270" s="196">
        <v>11</v>
      </c>
      <c r="AF270" s="263" t="str">
        <f>MID(Tabelle2[[#This Row],[bnr full]],1,4)</f>
        <v>F151</v>
      </c>
      <c r="AG270" s="264" t="str">
        <f>MID(Tabelle2[[#This Row],[bnr full]],5,3)</f>
        <v>147</v>
      </c>
      <c r="AH270" s="265" t="str">
        <f>MID(Tabelle2[[#This Row],[bnr full]],8,3)</f>
        <v>703</v>
      </c>
      <c r="AI270" s="264" t="str">
        <f>MID(Tabelle2[[#This Row],[bnr full]],11,3)</f>
        <v>201</v>
      </c>
      <c r="AJ270" s="252" t="str">
        <f>MID(Tabelle2[[#This Row],[bnr full]],11,3)</f>
        <v>201</v>
      </c>
      <c r="AK270" s="197" t="s">
        <v>795</v>
      </c>
      <c r="AL270" s="124" t="str">
        <f ca="1">Sprache!$A$111</f>
        <v>Комплект (Л + П)</v>
      </c>
      <c r="AM270" s="187" t="s">
        <v>25</v>
      </c>
      <c r="AN270" s="187" t="str">
        <f ca="1">Sprache!$A$125</f>
        <v>Пружина, стандарт</v>
      </c>
      <c r="AO270" s="187" t="s">
        <v>25</v>
      </c>
      <c r="AP270" s="187" t="s">
        <v>25</v>
      </c>
      <c r="AQ270" s="187">
        <f>Limits!$K$9</f>
        <v>200</v>
      </c>
      <c r="AR270" s="124">
        <v>1200</v>
      </c>
      <c r="AS270" s="187"/>
      <c r="AT270" s="124"/>
      <c r="AU270"/>
      <c r="AV270"/>
      <c r="AY270"/>
      <c r="AZ270"/>
      <c r="BA270"/>
      <c r="BB270"/>
      <c r="BC270"/>
    </row>
    <row r="271" spans="1:55" hidden="1" x14ac:dyDescent="0.25">
      <c r="A271" s="12" t="str">
        <f ca="1">IF(F271+G271+H271+I271+J271+D271+E271=3,IF(Tabelle2[[#This Row],[Kappe Weiß]]=Limits!$R$29,1,""),"")</f>
        <v/>
      </c>
      <c r="B271" s="12" t="str">
        <f ca="1">IF(G271+H271+I271+J271+E271+F271=2,IF(Tabelle2[[#This Row],[Kappe Weiß]]=Limits!$R$29,1,""),"")</f>
        <v/>
      </c>
      <c r="C271" s="291">
        <v>0</v>
      </c>
      <c r="D271" s="171">
        <f>IF(Limits!$P$9=TRUE,1,0)</f>
        <v>0</v>
      </c>
      <c r="E271" s="172">
        <f>IF(Daten!$P271+Daten!$Q271+Daten!$S271=3,1,0)</f>
        <v>0</v>
      </c>
      <c r="F271" s="173">
        <f ca="1">IF(AND(Limits!$Q$21=TRUE,Daten!O271=1)=TRUE,1,0)</f>
        <v>0</v>
      </c>
      <c r="G271" s="174">
        <f>IF(AND(Limits!$Q$25=TRUE,Daten!N271=1)=TRUE,1,0)</f>
        <v>0</v>
      </c>
      <c r="H271" s="174">
        <f>IF(AND(Limits!$Q$24=TRUE,Daten!M271=1)=TRUE,1,0)</f>
        <v>0</v>
      </c>
      <c r="I271" s="174">
        <f>IF(AND(Limits!$Q$23=TRUE,Daten!L271=1)=TRUE,1,0)</f>
        <v>0</v>
      </c>
      <c r="J271" s="174">
        <f>IF(AND(Limits!$Q$22=TRUE,Daten!K271=1)=TRUE,1,0)</f>
        <v>0</v>
      </c>
      <c r="K271" s="188">
        <f>IF(Daten!$V271=13,1,0)</f>
        <v>0</v>
      </c>
      <c r="L271" s="189">
        <f>IF(Daten!$V271&lt;&gt;Daten!$W271,1,IF(Daten!$V271=14,1,0))</f>
        <v>0</v>
      </c>
      <c r="M271" s="189">
        <f>IF(Daten!$V271&lt;&gt;Daten!$W271,1,IF(Daten!$V271=16,1,0))</f>
        <v>1</v>
      </c>
      <c r="N271" s="189">
        <f>IF(Daten!$W271=17,1,0)</f>
        <v>0</v>
      </c>
      <c r="O271" s="190">
        <f ca="1">IF(Daten!$X271=Sprache!$A$70,1,0)</f>
        <v>0</v>
      </c>
      <c r="P271" s="191">
        <f>IF(AND(Daten!$AQ271&lt;=KINVARO!$AW$3,Daten!$AR271&gt;=KINVARO!$AW$3)=TRUE,1,0)</f>
        <v>1</v>
      </c>
      <c r="Q271" s="192">
        <f>IF(AND(Daten!$AA271&lt;=KINVARO!$AW$4,Daten!$AB271&gt;=KINVARO!$AW$4)=TRUE,1,0)</f>
        <v>0</v>
      </c>
      <c r="R271" s="192"/>
      <c r="S271" s="192">
        <f>IF(AND(Daten!$AD271&lt;=Limits!$I$70,Daten!$AE271&gt;=Limits!$I$70)=TRUE,1,0)</f>
        <v>1</v>
      </c>
      <c r="T271" s="193">
        <f ca="1">IF(Daten!$Y271=Sprache!$A$135,1,0)</f>
        <v>0</v>
      </c>
      <c r="U271" s="124" t="str">
        <f ca="1">Sprache!$A$65</f>
        <v>T-75 Поворотный подъемник</v>
      </c>
      <c r="V271" s="194">
        <v>16</v>
      </c>
      <c r="W271" s="193">
        <v>16</v>
      </c>
      <c r="X271" s="187" t="str">
        <f ca="1">Sprache!$A$141</f>
        <v>Alu</v>
      </c>
      <c r="Y271" s="187" t="str">
        <f ca="1">Sprache!$A$136</f>
        <v>nein</v>
      </c>
      <c r="Z271" s="187" t="str">
        <f ca="1">Sprache!$A$79</f>
        <v>Створка</v>
      </c>
      <c r="AA271" s="187">
        <v>400</v>
      </c>
      <c r="AB271" s="124">
        <v>449</v>
      </c>
      <c r="AC271" s="187"/>
      <c r="AD271" s="195">
        <v>7</v>
      </c>
      <c r="AE271" s="196">
        <v>11</v>
      </c>
      <c r="AF271" s="263" t="str">
        <f>MID(Tabelle2[[#This Row],[bnr full]],1,4)</f>
        <v>F151</v>
      </c>
      <c r="AG271" s="264" t="str">
        <f>MID(Tabelle2[[#This Row],[bnr full]],5,3)</f>
        <v>147</v>
      </c>
      <c r="AH271" s="265" t="str">
        <f>MID(Tabelle2[[#This Row],[bnr full]],8,3)</f>
        <v>704</v>
      </c>
      <c r="AI271" s="264" t="str">
        <f>MID(Tabelle2[[#This Row],[bnr full]],11,3)</f>
        <v>201</v>
      </c>
      <c r="AJ271" s="252" t="str">
        <f>MID(Tabelle2[[#This Row],[bnr full]],11,3)</f>
        <v>201</v>
      </c>
      <c r="AK271" s="197" t="s">
        <v>796</v>
      </c>
      <c r="AL271" s="124" t="str">
        <f ca="1">Sprache!$A$111</f>
        <v>Комплект (Л + П)</v>
      </c>
      <c r="AM271" s="187" t="s">
        <v>25</v>
      </c>
      <c r="AN271" s="187" t="str">
        <f ca="1">Sprache!$A$125</f>
        <v>Пружина, стандарт</v>
      </c>
      <c r="AO271" s="187" t="s">
        <v>25</v>
      </c>
      <c r="AP271" s="187" t="s">
        <v>25</v>
      </c>
      <c r="AQ271" s="187">
        <f>Limits!$K$9</f>
        <v>200</v>
      </c>
      <c r="AR271" s="124">
        <v>1200</v>
      </c>
      <c r="AS271" s="187"/>
      <c r="AT271" s="124"/>
      <c r="AU271"/>
      <c r="AV271"/>
      <c r="AY271"/>
      <c r="AZ271"/>
      <c r="BA271"/>
      <c r="BB271"/>
      <c r="BC271"/>
    </row>
    <row r="272" spans="1:55" s="5" customFormat="1" hidden="1" x14ac:dyDescent="0.25">
      <c r="A272" s="12" t="str">
        <f ca="1">IF(F272+G272+H272+I272+J272+D272+E272=3,IF(Tabelle2[[#This Row],[Kappe Weiß]]=Limits!$R$29,1,""),"")</f>
        <v/>
      </c>
      <c r="B272" s="12" t="str">
        <f ca="1">IF(G272+H272+I272+J272+E272+F272=2,IF(Tabelle2[[#This Row],[Kappe Weiß]]=Limits!$R$29,1,""),"")</f>
        <v/>
      </c>
      <c r="C272" s="291">
        <v>0</v>
      </c>
      <c r="D272" s="171">
        <f>IF(Limits!$P$9=TRUE,1,0)</f>
        <v>0</v>
      </c>
      <c r="E272" s="172">
        <f>IF(Daten!$P272+Daten!$Q272+Daten!$S272=3,1,0)</f>
        <v>0</v>
      </c>
      <c r="F272" s="173">
        <f ca="1">IF(AND(Limits!$Q$21=TRUE,Daten!O272=1)=TRUE,1,0)</f>
        <v>0</v>
      </c>
      <c r="G272" s="174">
        <f>IF(AND(Limits!$Q$25=TRUE,Daten!N272=1)=TRUE,1,0)</f>
        <v>0</v>
      </c>
      <c r="H272" s="174">
        <f>IF(AND(Limits!$Q$24=TRUE,Daten!M272=1)=TRUE,1,0)</f>
        <v>0</v>
      </c>
      <c r="I272" s="174">
        <f>IF(AND(Limits!$Q$23=TRUE,Daten!L272=1)=TRUE,1,0)</f>
        <v>0</v>
      </c>
      <c r="J272" s="174">
        <f>IF(AND(Limits!$Q$22=TRUE,Daten!K272=1)=TRUE,1,0)</f>
        <v>0</v>
      </c>
      <c r="K272" s="188">
        <f>IF(Daten!$V272=13,1,0)</f>
        <v>0</v>
      </c>
      <c r="L272" s="189">
        <f>IF(Daten!$V272&lt;&gt;Daten!$W272,1,IF(Daten!$V272=14,1,0))</f>
        <v>0</v>
      </c>
      <c r="M272" s="189">
        <f>IF(Daten!$V272&lt;&gt;Daten!$W272,1,IF(Daten!$V272=16,1,0))</f>
        <v>0</v>
      </c>
      <c r="N272" s="189">
        <f>IF(Daten!$W272=17,1,0)</f>
        <v>1</v>
      </c>
      <c r="O272" s="190">
        <f ca="1">IF(Daten!$X272=Sprache!$A$70,1,0)</f>
        <v>0</v>
      </c>
      <c r="P272" s="191">
        <f>IF(AND(Daten!$AQ272&lt;=KINVARO!$AW$3,Daten!$AR272&gt;=KINVARO!$AW$3)=TRUE,1,0)</f>
        <v>1</v>
      </c>
      <c r="Q272" s="192">
        <f>IF(AND(Daten!$AA272&lt;=KINVARO!$AW$4,Daten!$AB272&gt;=KINVARO!$AW$4)=TRUE,1,0)</f>
        <v>0</v>
      </c>
      <c r="R272" s="192"/>
      <c r="S272" s="192">
        <f>IF(AND(Daten!$AD272&lt;=Limits!$I$70,Daten!$AE272&gt;=Limits!$I$70)=TRUE,1,0)</f>
        <v>1</v>
      </c>
      <c r="T272" s="193">
        <f ca="1">IF(Daten!$Y272=Sprache!$A$135,1,0)</f>
        <v>0</v>
      </c>
      <c r="U272" s="124" t="str">
        <f ca="1">Sprache!$A$65</f>
        <v>T-75 Поворотный подъемник</v>
      </c>
      <c r="V272" s="194">
        <v>17</v>
      </c>
      <c r="W272" s="193">
        <v>17</v>
      </c>
      <c r="X272" s="187" t="str">
        <f ca="1">Sprache!$A$141</f>
        <v>Alu</v>
      </c>
      <c r="Y272" s="187" t="str">
        <f ca="1">Sprache!$A$136</f>
        <v>nein</v>
      </c>
      <c r="Z272" s="187" t="str">
        <f ca="1">Sprache!$A$79</f>
        <v>Створка</v>
      </c>
      <c r="AA272" s="187">
        <v>400</v>
      </c>
      <c r="AB272" s="124">
        <v>449</v>
      </c>
      <c r="AC272" s="187"/>
      <c r="AD272" s="195">
        <v>7</v>
      </c>
      <c r="AE272" s="196">
        <v>11</v>
      </c>
      <c r="AF272" s="263" t="str">
        <f>MID(Tabelle2[[#This Row],[bnr full]],1,4)</f>
        <v>F151</v>
      </c>
      <c r="AG272" s="264" t="str">
        <f>MID(Tabelle2[[#This Row],[bnr full]],5,3)</f>
        <v>147</v>
      </c>
      <c r="AH272" s="265" t="str">
        <f>MID(Tabelle2[[#This Row],[bnr full]],8,3)</f>
        <v>705</v>
      </c>
      <c r="AI272" s="264" t="str">
        <f>MID(Tabelle2[[#This Row],[bnr full]],11,3)</f>
        <v>201</v>
      </c>
      <c r="AJ272" s="252" t="str">
        <f>MID(Tabelle2[[#This Row],[bnr full]],11,3)</f>
        <v>201</v>
      </c>
      <c r="AK272" s="197" t="s">
        <v>797</v>
      </c>
      <c r="AL272" s="124" t="str">
        <f ca="1">Sprache!$A$111</f>
        <v>Комплект (Л + П)</v>
      </c>
      <c r="AM272" s="187" t="s">
        <v>25</v>
      </c>
      <c r="AN272" s="187" t="str">
        <f ca="1">Sprache!$A$125</f>
        <v>Пружина, стандарт</v>
      </c>
      <c r="AO272" s="187" t="s">
        <v>25</v>
      </c>
      <c r="AP272" s="187" t="s">
        <v>25</v>
      </c>
      <c r="AQ272" s="187">
        <f>Limits!$K$9</f>
        <v>200</v>
      </c>
      <c r="AR272" s="124">
        <v>1200</v>
      </c>
      <c r="AS272" s="187"/>
      <c r="AT272" s="124"/>
    </row>
    <row r="273" spans="1:55" hidden="1" x14ac:dyDescent="0.25">
      <c r="A273" s="12" t="str">
        <f ca="1">IF(F273+G273+H273+I273+J273+D273+E273=3,IF(Tabelle2[[#This Row],[Kappe Weiß]]=Limits!$R$29,1,""),"")</f>
        <v/>
      </c>
      <c r="B273" s="12" t="str">
        <f ca="1">IF(G273+H273+I273+J273+E273+F273=2,IF(Tabelle2[[#This Row],[Kappe Weiß]]=Limits!$R$29,1,""),"")</f>
        <v/>
      </c>
      <c r="C273" s="292">
        <v>0</v>
      </c>
      <c r="D273" s="171">
        <f>IF(Limits!$P$9=TRUE,1,0)</f>
        <v>0</v>
      </c>
      <c r="E273" s="172">
        <f>IF(Daten!$P273+Daten!$Q273+Daten!$S273=3,1,0)</f>
        <v>0</v>
      </c>
      <c r="F273" s="173">
        <f ca="1">IF(AND(Limits!$Q$21=TRUE,Daten!O273=1)=TRUE,1,0)</f>
        <v>1</v>
      </c>
      <c r="G273" s="174">
        <f ca="1">IF(AND(Limits!$Q$25=TRUE,Daten!N273=1)=TRUE,1,0)</f>
        <v>0</v>
      </c>
      <c r="H273" s="174">
        <f ca="1">IF(AND(Limits!$Q$24=TRUE,Daten!M273=1)=TRUE,1,0)</f>
        <v>0</v>
      </c>
      <c r="I273" s="174">
        <f ca="1">IF(AND(Limits!$Q$23=TRUE,Daten!L273=1)=TRUE,1,0)</f>
        <v>0</v>
      </c>
      <c r="J273" s="174">
        <f ca="1">IF(AND(Limits!$Q$22=TRUE,Daten!K273=1)=TRUE,1,0)</f>
        <v>0</v>
      </c>
      <c r="K273" s="188">
        <f ca="1">IF(Daten!$V273=13,1,0)</f>
        <v>0</v>
      </c>
      <c r="L273" s="189">
        <f ca="1">IF(Daten!$V273&lt;&gt;Daten!$W273,1,IF(Daten!$V273=14,1,0))</f>
        <v>0</v>
      </c>
      <c r="M273" s="189">
        <f ca="1">IF(Daten!$V273&lt;&gt;Daten!$W273,1,IF(Daten!$V273=16,1,0))</f>
        <v>0</v>
      </c>
      <c r="N273" s="189">
        <f ca="1">IF(Daten!$W273=17,1,0)</f>
        <v>0</v>
      </c>
      <c r="O273" s="190">
        <f ca="1">IF(Daten!$X273=Sprache!$A$70,1,0)</f>
        <v>1</v>
      </c>
      <c r="P273" s="198">
        <f>IF(AND(Daten!$AQ273&lt;=KINVARO!$AW$3,Daten!$AR273&gt;=KINVARO!$AW$3)=TRUE,1,0)</f>
        <v>1</v>
      </c>
      <c r="Q273" s="199">
        <f>IF(AND(Daten!$AA273&lt;=KINVARO!$AW$4,Daten!$AB273&gt;=KINVARO!$AW$4)=TRUE,1,0)</f>
        <v>0</v>
      </c>
      <c r="R273" s="199"/>
      <c r="S273" s="199">
        <f>IF(AND(Daten!$AD273&lt;=Limits!$I$70,Daten!$AE273&gt;=Limits!$I$70)=TRUE,1,0)</f>
        <v>0</v>
      </c>
      <c r="T273" s="200">
        <f ca="1">IF(Daten!$Y273=Sprache!$A$135,1,0)</f>
        <v>0</v>
      </c>
      <c r="U273" s="201" t="str">
        <f ca="1">Sprache!$A$65</f>
        <v>T-75 Поворотный подъемник</v>
      </c>
      <c r="V273" s="202" t="str">
        <f ca="1">Sprache!$A$74</f>
        <v>var</v>
      </c>
      <c r="W273" s="200" t="str">
        <f ca="1">Sprache!$A$74</f>
        <v>var</v>
      </c>
      <c r="X273" s="203" t="str">
        <f ca="1">Sprache!$A$70</f>
        <v>соединение с древесиной</v>
      </c>
      <c r="Y273" s="187" t="str">
        <f ca="1">Sprache!$A$136</f>
        <v>nein</v>
      </c>
      <c r="Z273" s="203" t="str">
        <f ca="1">Sprache!$A$79</f>
        <v>Створка</v>
      </c>
      <c r="AA273" s="203">
        <v>450</v>
      </c>
      <c r="AB273" s="201">
        <v>499</v>
      </c>
      <c r="AC273" s="203"/>
      <c r="AD273" s="204">
        <v>6.7</v>
      </c>
      <c r="AE273" s="205">
        <v>9.6</v>
      </c>
      <c r="AF273" s="266" t="str">
        <f>MID(Tabelle2[[#This Row],[bnr full]],1,4)</f>
        <v>F151</v>
      </c>
      <c r="AG273" s="267" t="str">
        <f>MID(Tabelle2[[#This Row],[bnr full]],5,3)</f>
        <v>147</v>
      </c>
      <c r="AH273" s="268" t="str">
        <f>MID(Tabelle2[[#This Row],[bnr full]],8,3)</f>
        <v>699</v>
      </c>
      <c r="AI273" s="267" t="str">
        <f>MID(Tabelle2[[#This Row],[bnr full]],11,3)</f>
        <v>201</v>
      </c>
      <c r="AJ273" s="253" t="str">
        <f>MID(Tabelle2[[#This Row],[bnr full]],11,3)</f>
        <v>201</v>
      </c>
      <c r="AK273" s="206" t="s">
        <v>793</v>
      </c>
      <c r="AL273" s="201" t="str">
        <f ca="1">Sprache!$A$111</f>
        <v>Комплект (Л + П)</v>
      </c>
      <c r="AM273" s="203" t="s">
        <v>25</v>
      </c>
      <c r="AN273" s="203" t="str">
        <f ca="1">Sprache!$A$125</f>
        <v>Пружина, стандарт</v>
      </c>
      <c r="AO273" s="187" t="s">
        <v>25</v>
      </c>
      <c r="AP273" s="187" t="s">
        <v>25</v>
      </c>
      <c r="AQ273" s="203">
        <f>Limits!$K$9</f>
        <v>200</v>
      </c>
      <c r="AR273" s="201">
        <v>1200</v>
      </c>
      <c r="AS273" s="187"/>
      <c r="AT273" s="124"/>
      <c r="AU273"/>
      <c r="AV273"/>
      <c r="AY273"/>
      <c r="AZ273"/>
      <c r="BA273"/>
      <c r="BB273"/>
      <c r="BC273"/>
    </row>
    <row r="274" spans="1:55" hidden="1" x14ac:dyDescent="0.25">
      <c r="A274" s="12" t="str">
        <f ca="1">IF(F274+G274+H274+I274+J274+D274+E274=3,IF(Tabelle2[[#This Row],[Kappe Weiß]]=Limits!$R$29,1,""),"")</f>
        <v/>
      </c>
      <c r="B274" s="12" t="str">
        <f ca="1">IF(G274+H274+I274+J274+E274+F274=2,IF(Tabelle2[[#This Row],[Kappe Weiß]]=Limits!$R$29,1,""),"")</f>
        <v/>
      </c>
      <c r="C274" s="291">
        <v>0</v>
      </c>
      <c r="D274" s="171">
        <f>IF(Limits!$P$9=TRUE,1,0)</f>
        <v>0</v>
      </c>
      <c r="E274" s="172">
        <f>IF(Daten!$P274+Daten!$Q274+Daten!$S274=3,1,0)</f>
        <v>0</v>
      </c>
      <c r="F274" s="173">
        <f ca="1">IF(AND(Limits!$Q$21=TRUE,Daten!O274=1)=TRUE,1,0)</f>
        <v>0</v>
      </c>
      <c r="G274" s="174">
        <f>IF(AND(Limits!$Q$25=TRUE,Daten!N274=1)=TRUE,1,0)</f>
        <v>0</v>
      </c>
      <c r="H274" s="174">
        <f>IF(AND(Limits!$Q$24=TRUE,Daten!M274=1)=TRUE,1,0)</f>
        <v>0</v>
      </c>
      <c r="I274" s="174">
        <f>IF(AND(Limits!$Q$23=TRUE,Daten!L274=1)=TRUE,1,0)</f>
        <v>0</v>
      </c>
      <c r="J274" s="174">
        <f>IF(AND(Limits!$Q$22=TRUE,Daten!K274=1)=TRUE,1,0)</f>
        <v>0</v>
      </c>
      <c r="K274" s="188">
        <f>IF(Daten!$V274=13,1,0)</f>
        <v>1</v>
      </c>
      <c r="L274" s="189">
        <f>IF(Daten!$V274&lt;&gt;Daten!$W274,1,IF(Daten!$V274=14,1,0))</f>
        <v>0</v>
      </c>
      <c r="M274" s="189">
        <f>IF(Daten!$V274&lt;&gt;Daten!$W274,1,IF(Daten!$V274=16,1,0))</f>
        <v>0</v>
      </c>
      <c r="N274" s="189">
        <f>IF(Daten!$W274=17,1,0)</f>
        <v>0</v>
      </c>
      <c r="O274" s="190">
        <f ca="1">IF(Daten!$X274=Sprache!$A$70,1,0)</f>
        <v>0</v>
      </c>
      <c r="P274" s="191">
        <f>IF(AND(Daten!$AQ274&lt;=KINVARO!$AW$3,Daten!$AR274&gt;=KINVARO!$AW$3)=TRUE,1,0)</f>
        <v>1</v>
      </c>
      <c r="Q274" s="192">
        <f>IF(AND(Daten!$AA274&lt;=KINVARO!$AW$4,Daten!$AB274&gt;=KINVARO!$AW$4)=TRUE,1,0)</f>
        <v>0</v>
      </c>
      <c r="R274" s="192"/>
      <c r="S274" s="192">
        <f>IF(AND(Daten!$AD274&lt;=Limits!$I$70,Daten!$AE274&gt;=Limits!$I$70)=TRUE,1,0)</f>
        <v>0</v>
      </c>
      <c r="T274" s="193">
        <f ca="1">IF(Daten!$Y274=Sprache!$A$135,1,0)</f>
        <v>0</v>
      </c>
      <c r="U274" s="124" t="str">
        <f ca="1">Sprache!$A$65</f>
        <v>T-75 Поворотный подъемник</v>
      </c>
      <c r="V274" s="194">
        <v>13</v>
      </c>
      <c r="W274" s="193">
        <v>13</v>
      </c>
      <c r="X274" s="187" t="str">
        <f ca="1">Sprache!$A$141</f>
        <v>Alu</v>
      </c>
      <c r="Y274" s="187" t="str">
        <f ca="1">Sprache!$A$136</f>
        <v>nein</v>
      </c>
      <c r="Z274" s="187" t="str">
        <f ca="1">Sprache!$A$79</f>
        <v>Створка</v>
      </c>
      <c r="AA274" s="187">
        <v>450</v>
      </c>
      <c r="AB274" s="124">
        <v>499</v>
      </c>
      <c r="AC274" s="187"/>
      <c r="AD274" s="195">
        <v>6.7</v>
      </c>
      <c r="AE274" s="196">
        <v>9.6</v>
      </c>
      <c r="AF274" s="263" t="str">
        <f>MID(Tabelle2[[#This Row],[bnr full]],1,4)</f>
        <v>F151</v>
      </c>
      <c r="AG274" s="264" t="str">
        <f>MID(Tabelle2[[#This Row],[bnr full]],5,3)</f>
        <v>147</v>
      </c>
      <c r="AH274" s="265" t="str">
        <f>MID(Tabelle2[[#This Row],[bnr full]],8,3)</f>
        <v>702</v>
      </c>
      <c r="AI274" s="264" t="str">
        <f>MID(Tabelle2[[#This Row],[bnr full]],11,3)</f>
        <v>201</v>
      </c>
      <c r="AJ274" s="252" t="str">
        <f>MID(Tabelle2[[#This Row],[bnr full]],11,3)</f>
        <v>201</v>
      </c>
      <c r="AK274" s="197" t="s">
        <v>794</v>
      </c>
      <c r="AL274" s="124" t="str">
        <f ca="1">Sprache!$A$111</f>
        <v>Комплект (Л + П)</v>
      </c>
      <c r="AM274" s="187" t="s">
        <v>25</v>
      </c>
      <c r="AN274" s="187" t="str">
        <f ca="1">Sprache!$A$125</f>
        <v>Пружина, стандарт</v>
      </c>
      <c r="AO274" s="187" t="s">
        <v>25</v>
      </c>
      <c r="AP274" s="187" t="s">
        <v>25</v>
      </c>
      <c r="AQ274" s="187">
        <f>Limits!$K$9</f>
        <v>200</v>
      </c>
      <c r="AR274" s="124">
        <v>1200</v>
      </c>
      <c r="AS274" s="187"/>
      <c r="AT274" s="124"/>
      <c r="AU274"/>
      <c r="AV274"/>
      <c r="AY274"/>
      <c r="AZ274"/>
      <c r="BA274"/>
      <c r="BB274"/>
      <c r="BC274"/>
    </row>
    <row r="275" spans="1:55" hidden="1" x14ac:dyDescent="0.25">
      <c r="A275" s="12" t="str">
        <f ca="1">IF(F275+G275+H275+I275+J275+D275+E275=3,IF(Tabelle2[[#This Row],[Kappe Weiß]]=Limits!$R$29,1,""),"")</f>
        <v/>
      </c>
      <c r="B275" s="12" t="str">
        <f ca="1">IF(G275+H275+I275+J275+E275+F275=2,IF(Tabelle2[[#This Row],[Kappe Weiß]]=Limits!$R$29,1,""),"")</f>
        <v/>
      </c>
      <c r="C275" s="291">
        <v>0</v>
      </c>
      <c r="D275" s="171">
        <f>IF(Limits!$P$9=TRUE,1,0)</f>
        <v>0</v>
      </c>
      <c r="E275" s="172">
        <f>IF(Daten!$P275+Daten!$Q275+Daten!$S275=3,1,0)</f>
        <v>0</v>
      </c>
      <c r="F275" s="173">
        <f ca="1">IF(AND(Limits!$Q$21=TRUE,Daten!O275=1)=TRUE,1,0)</f>
        <v>0</v>
      </c>
      <c r="G275" s="174">
        <f>IF(AND(Limits!$Q$25=TRUE,Daten!N275=1)=TRUE,1,0)</f>
        <v>0</v>
      </c>
      <c r="H275" s="174">
        <f>IF(AND(Limits!$Q$24=TRUE,Daten!M275=1)=TRUE,1,0)</f>
        <v>0</v>
      </c>
      <c r="I275" s="174">
        <f>IF(AND(Limits!$Q$23=TRUE,Daten!L275=1)=TRUE,1,0)</f>
        <v>0</v>
      </c>
      <c r="J275" s="174">
        <f>IF(AND(Limits!$Q$22=TRUE,Daten!K275=1)=TRUE,1,0)</f>
        <v>0</v>
      </c>
      <c r="K275" s="188">
        <f>IF(Daten!$V275=13,1,0)</f>
        <v>0</v>
      </c>
      <c r="L275" s="189">
        <f>IF(Daten!$V275&lt;&gt;Daten!$W275,1,IF(Daten!$V275=14,1,0))</f>
        <v>1</v>
      </c>
      <c r="M275" s="189">
        <f>IF(Daten!$V275&lt;&gt;Daten!$W275,1,IF(Daten!$V275=16,1,0))</f>
        <v>0</v>
      </c>
      <c r="N275" s="189">
        <f>IF(Daten!$W275=17,1,0)</f>
        <v>0</v>
      </c>
      <c r="O275" s="190">
        <f ca="1">IF(Daten!$X275=Sprache!$A$70,1,0)</f>
        <v>0</v>
      </c>
      <c r="P275" s="191">
        <f>IF(AND(Daten!$AQ275&lt;=KINVARO!$AW$3,Daten!$AR275&gt;=KINVARO!$AW$3)=TRUE,1,0)</f>
        <v>1</v>
      </c>
      <c r="Q275" s="192">
        <f>IF(AND(Daten!$AA275&lt;=KINVARO!$AW$4,Daten!$AB275&gt;=KINVARO!$AW$4)=TRUE,1,0)</f>
        <v>0</v>
      </c>
      <c r="R275" s="192"/>
      <c r="S275" s="192">
        <f>IF(AND(Daten!$AD275&lt;=Limits!$I$70,Daten!$AE275&gt;=Limits!$I$70)=TRUE,1,0)</f>
        <v>0</v>
      </c>
      <c r="T275" s="193">
        <f ca="1">IF(Daten!$Y275=Sprache!$A$135,1,0)</f>
        <v>0</v>
      </c>
      <c r="U275" s="124" t="str">
        <f ca="1">Sprache!$A$65</f>
        <v>T-75 Поворотный подъемник</v>
      </c>
      <c r="V275" s="194">
        <v>14</v>
      </c>
      <c r="W275" s="193">
        <v>14</v>
      </c>
      <c r="X275" s="187" t="str">
        <f ca="1">Sprache!$A$141</f>
        <v>Alu</v>
      </c>
      <c r="Y275" s="187" t="str">
        <f ca="1">Sprache!$A$136</f>
        <v>nein</v>
      </c>
      <c r="Z275" s="187" t="str">
        <f ca="1">Sprache!$A$79</f>
        <v>Створка</v>
      </c>
      <c r="AA275" s="187">
        <v>450</v>
      </c>
      <c r="AB275" s="124">
        <v>499</v>
      </c>
      <c r="AC275" s="187"/>
      <c r="AD275" s="195">
        <v>6.7</v>
      </c>
      <c r="AE275" s="196">
        <v>9.6</v>
      </c>
      <c r="AF275" s="263" t="str">
        <f>MID(Tabelle2[[#This Row],[bnr full]],1,4)</f>
        <v>F151</v>
      </c>
      <c r="AG275" s="264" t="str">
        <f>MID(Tabelle2[[#This Row],[bnr full]],5,3)</f>
        <v>147</v>
      </c>
      <c r="AH275" s="265" t="str">
        <f>MID(Tabelle2[[#This Row],[bnr full]],8,3)</f>
        <v>703</v>
      </c>
      <c r="AI275" s="264" t="str">
        <f>MID(Tabelle2[[#This Row],[bnr full]],11,3)</f>
        <v>201</v>
      </c>
      <c r="AJ275" s="252" t="str">
        <f>MID(Tabelle2[[#This Row],[bnr full]],11,3)</f>
        <v>201</v>
      </c>
      <c r="AK275" s="197" t="s">
        <v>795</v>
      </c>
      <c r="AL275" s="124" t="str">
        <f ca="1">Sprache!$A$111</f>
        <v>Комплект (Л + П)</v>
      </c>
      <c r="AM275" s="187" t="s">
        <v>25</v>
      </c>
      <c r="AN275" s="187" t="str">
        <f ca="1">Sprache!$A$125</f>
        <v>Пружина, стандарт</v>
      </c>
      <c r="AO275" s="187" t="s">
        <v>25</v>
      </c>
      <c r="AP275" s="187" t="s">
        <v>25</v>
      </c>
      <c r="AQ275" s="187">
        <f>Limits!$K$9</f>
        <v>200</v>
      </c>
      <c r="AR275" s="124">
        <v>1200</v>
      </c>
      <c r="AS275" s="187"/>
      <c r="AT275" s="124"/>
      <c r="AU275"/>
      <c r="AV275"/>
      <c r="AY275"/>
      <c r="AZ275"/>
      <c r="BA275"/>
      <c r="BB275"/>
      <c r="BC275"/>
    </row>
    <row r="276" spans="1:55" hidden="1" x14ac:dyDescent="0.25">
      <c r="A276" s="12" t="str">
        <f ca="1">IF(F276+G276+H276+I276+J276+D276+E276=3,IF(Tabelle2[[#This Row],[Kappe Weiß]]=Limits!$R$29,1,""),"")</f>
        <v/>
      </c>
      <c r="B276" s="12" t="str">
        <f ca="1">IF(G276+H276+I276+J276+E276+F276=2,IF(Tabelle2[[#This Row],[Kappe Weiß]]=Limits!$R$29,1,""),"")</f>
        <v/>
      </c>
      <c r="C276" s="291">
        <v>0</v>
      </c>
      <c r="D276" s="171">
        <f>IF(Limits!$P$9=TRUE,1,0)</f>
        <v>0</v>
      </c>
      <c r="E276" s="172">
        <f>IF(Daten!$P276+Daten!$Q276+Daten!$S276=3,1,0)</f>
        <v>0</v>
      </c>
      <c r="F276" s="173">
        <f ca="1">IF(AND(Limits!$Q$21=TRUE,Daten!O276=1)=TRUE,1,0)</f>
        <v>0</v>
      </c>
      <c r="G276" s="174">
        <f>IF(AND(Limits!$Q$25=TRUE,Daten!N276=1)=TRUE,1,0)</f>
        <v>0</v>
      </c>
      <c r="H276" s="174">
        <f>IF(AND(Limits!$Q$24=TRUE,Daten!M276=1)=TRUE,1,0)</f>
        <v>0</v>
      </c>
      <c r="I276" s="174">
        <f>IF(AND(Limits!$Q$23=TRUE,Daten!L276=1)=TRUE,1,0)</f>
        <v>0</v>
      </c>
      <c r="J276" s="174">
        <f>IF(AND(Limits!$Q$22=TRUE,Daten!K276=1)=TRUE,1,0)</f>
        <v>0</v>
      </c>
      <c r="K276" s="188">
        <f>IF(Daten!$V276=13,1,0)</f>
        <v>0</v>
      </c>
      <c r="L276" s="189">
        <f>IF(Daten!$V276&lt;&gt;Daten!$W276,1,IF(Daten!$V276=14,1,0))</f>
        <v>0</v>
      </c>
      <c r="M276" s="189">
        <f>IF(Daten!$V276&lt;&gt;Daten!$W276,1,IF(Daten!$V276=16,1,0))</f>
        <v>1</v>
      </c>
      <c r="N276" s="189">
        <f>IF(Daten!$W276=17,1,0)</f>
        <v>0</v>
      </c>
      <c r="O276" s="190">
        <f ca="1">IF(Daten!$X276=Sprache!$A$70,1,0)</f>
        <v>0</v>
      </c>
      <c r="P276" s="191">
        <f>IF(AND(Daten!$AQ276&lt;=KINVARO!$AW$3,Daten!$AR276&gt;=KINVARO!$AW$3)=TRUE,1,0)</f>
        <v>1</v>
      </c>
      <c r="Q276" s="192">
        <f>IF(AND(Daten!$AA276&lt;=KINVARO!$AW$4,Daten!$AB276&gt;=KINVARO!$AW$4)=TRUE,1,0)</f>
        <v>0</v>
      </c>
      <c r="R276" s="192"/>
      <c r="S276" s="192">
        <f>IF(AND(Daten!$AD276&lt;=Limits!$I$70,Daten!$AE276&gt;=Limits!$I$70)=TRUE,1,0)</f>
        <v>0</v>
      </c>
      <c r="T276" s="193">
        <f ca="1">IF(Daten!$Y276=Sprache!$A$135,1,0)</f>
        <v>0</v>
      </c>
      <c r="U276" s="124" t="str">
        <f ca="1">Sprache!$A$65</f>
        <v>T-75 Поворотный подъемник</v>
      </c>
      <c r="V276" s="194">
        <v>16</v>
      </c>
      <c r="W276" s="193">
        <v>16</v>
      </c>
      <c r="X276" s="187" t="str">
        <f ca="1">Sprache!$A$141</f>
        <v>Alu</v>
      </c>
      <c r="Y276" s="187" t="str">
        <f ca="1">Sprache!$A$136</f>
        <v>nein</v>
      </c>
      <c r="Z276" s="187" t="str">
        <f ca="1">Sprache!$A$79</f>
        <v>Створка</v>
      </c>
      <c r="AA276" s="187">
        <v>450</v>
      </c>
      <c r="AB276" s="124">
        <v>499</v>
      </c>
      <c r="AC276" s="187"/>
      <c r="AD276" s="195">
        <v>6.7</v>
      </c>
      <c r="AE276" s="196">
        <v>9.6</v>
      </c>
      <c r="AF276" s="263" t="str">
        <f>MID(Tabelle2[[#This Row],[bnr full]],1,4)</f>
        <v>F151</v>
      </c>
      <c r="AG276" s="264" t="str">
        <f>MID(Tabelle2[[#This Row],[bnr full]],5,3)</f>
        <v>147</v>
      </c>
      <c r="AH276" s="265" t="str">
        <f>MID(Tabelle2[[#This Row],[bnr full]],8,3)</f>
        <v>704</v>
      </c>
      <c r="AI276" s="264" t="str">
        <f>MID(Tabelle2[[#This Row],[bnr full]],11,3)</f>
        <v>201</v>
      </c>
      <c r="AJ276" s="252" t="str">
        <f>MID(Tabelle2[[#This Row],[bnr full]],11,3)</f>
        <v>201</v>
      </c>
      <c r="AK276" s="197" t="s">
        <v>796</v>
      </c>
      <c r="AL276" s="124" t="str">
        <f ca="1">Sprache!$A$111</f>
        <v>Комплект (Л + П)</v>
      </c>
      <c r="AM276" s="187" t="s">
        <v>25</v>
      </c>
      <c r="AN276" s="187" t="str">
        <f ca="1">Sprache!$A$125</f>
        <v>Пружина, стандарт</v>
      </c>
      <c r="AO276" s="187" t="s">
        <v>25</v>
      </c>
      <c r="AP276" s="187" t="s">
        <v>25</v>
      </c>
      <c r="AQ276" s="187">
        <f>Limits!$K$9</f>
        <v>200</v>
      </c>
      <c r="AR276" s="124">
        <v>1200</v>
      </c>
      <c r="AS276" s="187"/>
      <c r="AT276" s="124"/>
      <c r="AU276"/>
      <c r="AV276"/>
      <c r="AY276"/>
      <c r="AZ276"/>
      <c r="BA276"/>
      <c r="BB276"/>
      <c r="BC276"/>
    </row>
    <row r="277" spans="1:55" hidden="1" x14ac:dyDescent="0.25">
      <c r="A277" s="12" t="str">
        <f ca="1">IF(F277+G277+H277+I277+J277+D277+E277=3,IF(Tabelle2[[#This Row],[Kappe Weiß]]=Limits!$R$29,1,""),"")</f>
        <v/>
      </c>
      <c r="B277" s="12" t="str">
        <f ca="1">IF(G277+H277+I277+J277+E277+F277=2,IF(Tabelle2[[#This Row],[Kappe Weiß]]=Limits!$R$29,1,""),"")</f>
        <v/>
      </c>
      <c r="C277" s="291">
        <v>0</v>
      </c>
      <c r="D277" s="171">
        <f>IF(Limits!$P$9=TRUE,1,0)</f>
        <v>0</v>
      </c>
      <c r="E277" s="172">
        <f>IF(Daten!$P277+Daten!$Q277+Daten!$S277=3,1,0)</f>
        <v>0</v>
      </c>
      <c r="F277" s="173">
        <f ca="1">IF(AND(Limits!$Q$21=TRUE,Daten!O277=1)=TRUE,1,0)</f>
        <v>0</v>
      </c>
      <c r="G277" s="174">
        <f>IF(AND(Limits!$Q$25=TRUE,Daten!N277=1)=TRUE,1,0)</f>
        <v>0</v>
      </c>
      <c r="H277" s="174">
        <f>IF(AND(Limits!$Q$24=TRUE,Daten!M277=1)=TRUE,1,0)</f>
        <v>0</v>
      </c>
      <c r="I277" s="174">
        <f>IF(AND(Limits!$Q$23=TRUE,Daten!L277=1)=TRUE,1,0)</f>
        <v>0</v>
      </c>
      <c r="J277" s="174">
        <f>IF(AND(Limits!$Q$22=TRUE,Daten!K277=1)=TRUE,1,0)</f>
        <v>0</v>
      </c>
      <c r="K277" s="188">
        <f>IF(Daten!$V277=13,1,0)</f>
        <v>0</v>
      </c>
      <c r="L277" s="189">
        <f>IF(Daten!$V277&lt;&gt;Daten!$W277,1,IF(Daten!$V277=14,1,0))</f>
        <v>0</v>
      </c>
      <c r="M277" s="189">
        <f>IF(Daten!$V277&lt;&gt;Daten!$W277,1,IF(Daten!$V277=16,1,0))</f>
        <v>0</v>
      </c>
      <c r="N277" s="189">
        <f>IF(Daten!$W277=17,1,0)</f>
        <v>1</v>
      </c>
      <c r="O277" s="190">
        <f ca="1">IF(Daten!$X277=Sprache!$A$70,1,0)</f>
        <v>0</v>
      </c>
      <c r="P277" s="191">
        <f>IF(AND(Daten!$AQ277&lt;=KINVARO!$AW$3,Daten!$AR277&gt;=KINVARO!$AW$3)=TRUE,1,0)</f>
        <v>1</v>
      </c>
      <c r="Q277" s="192">
        <f>IF(AND(Daten!$AA277&lt;=KINVARO!$AW$4,Daten!$AB277&gt;=KINVARO!$AW$4)=TRUE,1,0)</f>
        <v>0</v>
      </c>
      <c r="R277" s="192"/>
      <c r="S277" s="192">
        <f>IF(AND(Daten!$AD277&lt;=Limits!$I$70,Daten!$AE277&gt;=Limits!$I$70)=TRUE,1,0)</f>
        <v>0</v>
      </c>
      <c r="T277" s="193">
        <f ca="1">IF(Daten!$Y277=Sprache!$A$135,1,0)</f>
        <v>0</v>
      </c>
      <c r="U277" s="124" t="str">
        <f ca="1">Sprache!$A$65</f>
        <v>T-75 Поворотный подъемник</v>
      </c>
      <c r="V277" s="194">
        <v>17</v>
      </c>
      <c r="W277" s="193">
        <v>17</v>
      </c>
      <c r="X277" s="187" t="str">
        <f ca="1">Sprache!$A$141</f>
        <v>Alu</v>
      </c>
      <c r="Y277" s="187" t="str">
        <f ca="1">Sprache!$A$136</f>
        <v>nein</v>
      </c>
      <c r="Z277" s="187" t="str">
        <f ca="1">Sprache!$A$79</f>
        <v>Створка</v>
      </c>
      <c r="AA277" s="187">
        <v>450</v>
      </c>
      <c r="AB277" s="124">
        <v>499</v>
      </c>
      <c r="AC277" s="187"/>
      <c r="AD277" s="195">
        <v>6.7</v>
      </c>
      <c r="AE277" s="196">
        <v>9.6</v>
      </c>
      <c r="AF277" s="263" t="str">
        <f>MID(Tabelle2[[#This Row],[bnr full]],1,4)</f>
        <v>F151</v>
      </c>
      <c r="AG277" s="264" t="str">
        <f>MID(Tabelle2[[#This Row],[bnr full]],5,3)</f>
        <v>147</v>
      </c>
      <c r="AH277" s="265" t="str">
        <f>MID(Tabelle2[[#This Row],[bnr full]],8,3)</f>
        <v>705</v>
      </c>
      <c r="AI277" s="264" t="str">
        <f>MID(Tabelle2[[#This Row],[bnr full]],11,3)</f>
        <v>201</v>
      </c>
      <c r="AJ277" s="252" t="str">
        <f>MID(Tabelle2[[#This Row],[bnr full]],11,3)</f>
        <v>201</v>
      </c>
      <c r="AK277" s="197" t="s">
        <v>797</v>
      </c>
      <c r="AL277" s="124" t="str">
        <f ca="1">Sprache!$A$111</f>
        <v>Комплект (Л + П)</v>
      </c>
      <c r="AM277" s="187" t="s">
        <v>25</v>
      </c>
      <c r="AN277" s="187" t="str">
        <f ca="1">Sprache!$A$125</f>
        <v>Пружина, стандарт</v>
      </c>
      <c r="AO277" s="187" t="s">
        <v>25</v>
      </c>
      <c r="AP277" s="187" t="s">
        <v>25</v>
      </c>
      <c r="AQ277" s="187">
        <f>Limits!$K$9</f>
        <v>200</v>
      </c>
      <c r="AR277" s="124">
        <v>1200</v>
      </c>
      <c r="AS277" s="187"/>
      <c r="AT277" s="124"/>
      <c r="AU277"/>
      <c r="AV277"/>
      <c r="AY277"/>
      <c r="AZ277"/>
      <c r="BA277"/>
      <c r="BB277"/>
      <c r="BC277"/>
    </row>
    <row r="278" spans="1:55" hidden="1" x14ac:dyDescent="0.25">
      <c r="A278" s="12" t="str">
        <f ca="1">IF(F278+G278+H278+I278+J278+D278+E278=3,IF(Tabelle2[[#This Row],[Kappe Weiß]]=Limits!$R$29,1,""),"")</f>
        <v/>
      </c>
      <c r="B278" s="12" t="str">
        <f ca="1">IF(G278+H278+I278+J278+E278+F278=2,IF(Tabelle2[[#This Row],[Kappe Weiß]]=Limits!$R$29,1,""),"")</f>
        <v/>
      </c>
      <c r="C278" s="292">
        <v>0</v>
      </c>
      <c r="D278" s="171">
        <f>IF(Limits!$P$9=TRUE,1,0)</f>
        <v>0</v>
      </c>
      <c r="E278" s="172">
        <f>IF(Daten!$P278+Daten!$Q278+Daten!$S278=3,1,0)</f>
        <v>0</v>
      </c>
      <c r="F278" s="173">
        <f ca="1">IF(AND(Limits!$Q$21=TRUE,Daten!O278=1)=TRUE,1,0)</f>
        <v>1</v>
      </c>
      <c r="G278" s="174">
        <f ca="1">IF(AND(Limits!$Q$25=TRUE,Daten!N278=1)=TRUE,1,0)</f>
        <v>0</v>
      </c>
      <c r="H278" s="174">
        <f ca="1">IF(AND(Limits!$Q$24=TRUE,Daten!M278=1)=TRUE,1,0)</f>
        <v>0</v>
      </c>
      <c r="I278" s="174">
        <f ca="1">IF(AND(Limits!$Q$23=TRUE,Daten!L278=1)=TRUE,1,0)</f>
        <v>0</v>
      </c>
      <c r="J278" s="174">
        <f ca="1">IF(AND(Limits!$Q$22=TRUE,Daten!K278=1)=TRUE,1,0)</f>
        <v>0</v>
      </c>
      <c r="K278" s="188">
        <f ca="1">IF(Daten!$V278=13,1,0)</f>
        <v>0</v>
      </c>
      <c r="L278" s="189">
        <f ca="1">IF(Daten!$V278&lt;&gt;Daten!$W278,1,IF(Daten!$V278=14,1,0))</f>
        <v>0</v>
      </c>
      <c r="M278" s="189">
        <f ca="1">IF(Daten!$V278&lt;&gt;Daten!$W278,1,IF(Daten!$V278=16,1,0))</f>
        <v>0</v>
      </c>
      <c r="N278" s="189">
        <f ca="1">IF(Daten!$W278=17,1,0)</f>
        <v>0</v>
      </c>
      <c r="O278" s="190">
        <f ca="1">IF(Daten!$X278=Sprache!$A$70,1,0)</f>
        <v>1</v>
      </c>
      <c r="P278" s="198">
        <f>IF(AND(Daten!$AQ278&lt;=KINVARO!$AW$3,Daten!$AR278&gt;=KINVARO!$AW$3)=TRUE,1,0)</f>
        <v>1</v>
      </c>
      <c r="Q278" s="199">
        <f>IF(AND(Daten!$AA278&lt;=KINVARO!$AW$4,Daten!$AB278&gt;=KINVARO!$AW$4)=TRUE,1,0)</f>
        <v>0</v>
      </c>
      <c r="R278" s="199"/>
      <c r="S278" s="199">
        <f>IF(AND(Daten!$AD278&lt;=Limits!$I$70,Daten!$AE278&gt;=Limits!$I$70)=TRUE,1,0)</f>
        <v>0</v>
      </c>
      <c r="T278" s="200">
        <f ca="1">IF(Daten!$Y278=Sprache!$A$135,1,0)</f>
        <v>0</v>
      </c>
      <c r="U278" s="201" t="str">
        <f ca="1">Sprache!$A$65</f>
        <v>T-75 Поворотный подъемник</v>
      </c>
      <c r="V278" s="202" t="str">
        <f ca="1">Sprache!$A$74</f>
        <v>var</v>
      </c>
      <c r="W278" s="200" t="str">
        <f ca="1">Sprache!$A$74</f>
        <v>var</v>
      </c>
      <c r="X278" s="203" t="str">
        <f ca="1">Sprache!$A$70</f>
        <v>соединение с древесиной</v>
      </c>
      <c r="Y278" s="187" t="str">
        <f ca="1">Sprache!$A$136</f>
        <v>nein</v>
      </c>
      <c r="Z278" s="203" t="str">
        <f ca="1">Sprache!$A$79</f>
        <v>Створка</v>
      </c>
      <c r="AA278" s="203">
        <v>500</v>
      </c>
      <c r="AB278" s="201">
        <v>549</v>
      </c>
      <c r="AC278" s="203"/>
      <c r="AD278" s="204">
        <v>5.8</v>
      </c>
      <c r="AE278" s="205">
        <v>8.5</v>
      </c>
      <c r="AF278" s="266" t="str">
        <f>MID(Tabelle2[[#This Row],[bnr full]],1,4)</f>
        <v>F151</v>
      </c>
      <c r="AG278" s="267" t="str">
        <f>MID(Tabelle2[[#This Row],[bnr full]],5,3)</f>
        <v>147</v>
      </c>
      <c r="AH278" s="268" t="str">
        <f>MID(Tabelle2[[#This Row],[bnr full]],8,3)</f>
        <v>699</v>
      </c>
      <c r="AI278" s="267" t="str">
        <f>MID(Tabelle2[[#This Row],[bnr full]],11,3)</f>
        <v>201</v>
      </c>
      <c r="AJ278" s="253" t="str">
        <f>MID(Tabelle2[[#This Row],[bnr full]],11,3)</f>
        <v>201</v>
      </c>
      <c r="AK278" s="206" t="s">
        <v>793</v>
      </c>
      <c r="AL278" s="201" t="str">
        <f ca="1">Sprache!$A$111</f>
        <v>Комплект (Л + П)</v>
      </c>
      <c r="AM278" s="203" t="s">
        <v>25</v>
      </c>
      <c r="AN278" s="203" t="str">
        <f ca="1">Sprache!$A$125</f>
        <v>Пружина, стандарт</v>
      </c>
      <c r="AO278" s="187" t="s">
        <v>25</v>
      </c>
      <c r="AP278" s="187" t="s">
        <v>25</v>
      </c>
      <c r="AQ278" s="203">
        <f>Limits!$K$9</f>
        <v>200</v>
      </c>
      <c r="AR278" s="201">
        <v>1200</v>
      </c>
      <c r="AS278" s="187"/>
      <c r="AT278" s="124"/>
      <c r="AU278"/>
      <c r="AV278"/>
      <c r="AY278"/>
      <c r="AZ278"/>
      <c r="BA278"/>
      <c r="BB278"/>
      <c r="BC278"/>
    </row>
    <row r="279" spans="1:55" hidden="1" x14ac:dyDescent="0.25">
      <c r="A279" s="12" t="str">
        <f ca="1">IF(F279+G279+H279+I279+J279+D279+E279=3,IF(Tabelle2[[#This Row],[Kappe Weiß]]=Limits!$R$29,1,""),"")</f>
        <v/>
      </c>
      <c r="B279" s="12" t="str">
        <f ca="1">IF(G279+H279+I279+J279+E279+F279=2,IF(Tabelle2[[#This Row],[Kappe Weiß]]=Limits!$R$29,1,""),"")</f>
        <v/>
      </c>
      <c r="C279" s="291">
        <v>0</v>
      </c>
      <c r="D279" s="171">
        <f>IF(Limits!$P$9=TRUE,1,0)</f>
        <v>0</v>
      </c>
      <c r="E279" s="172">
        <f>IF(Daten!$P279+Daten!$Q279+Daten!$S279=3,1,0)</f>
        <v>0</v>
      </c>
      <c r="F279" s="173">
        <f ca="1">IF(AND(Limits!$Q$21=TRUE,Daten!O279=1)=TRUE,1,0)</f>
        <v>0</v>
      </c>
      <c r="G279" s="174">
        <f>IF(AND(Limits!$Q$25=TRUE,Daten!N279=1)=TRUE,1,0)</f>
        <v>0</v>
      </c>
      <c r="H279" s="174">
        <f>IF(AND(Limits!$Q$24=TRUE,Daten!M279=1)=TRUE,1,0)</f>
        <v>0</v>
      </c>
      <c r="I279" s="174">
        <f>IF(AND(Limits!$Q$23=TRUE,Daten!L279=1)=TRUE,1,0)</f>
        <v>0</v>
      </c>
      <c r="J279" s="174">
        <f>IF(AND(Limits!$Q$22=TRUE,Daten!K279=1)=TRUE,1,0)</f>
        <v>0</v>
      </c>
      <c r="K279" s="188">
        <f>IF(Daten!$V279=13,1,0)</f>
        <v>1</v>
      </c>
      <c r="L279" s="189">
        <f>IF(Daten!$V279&lt;&gt;Daten!$W279,1,IF(Daten!$V279=14,1,0))</f>
        <v>0</v>
      </c>
      <c r="M279" s="189">
        <f>IF(Daten!$V279&lt;&gt;Daten!$W279,1,IF(Daten!$V279=16,1,0))</f>
        <v>0</v>
      </c>
      <c r="N279" s="189">
        <f>IF(Daten!$W279=17,1,0)</f>
        <v>0</v>
      </c>
      <c r="O279" s="190">
        <f ca="1">IF(Daten!$X279=Sprache!$A$70,1,0)</f>
        <v>0</v>
      </c>
      <c r="P279" s="191">
        <f>IF(AND(Daten!$AQ279&lt;=KINVARO!$AW$3,Daten!$AR279&gt;=KINVARO!$AW$3)=TRUE,1,0)</f>
        <v>1</v>
      </c>
      <c r="Q279" s="192">
        <f>IF(AND(Daten!$AA279&lt;=KINVARO!$AW$4,Daten!$AB279&gt;=KINVARO!$AW$4)=TRUE,1,0)</f>
        <v>0</v>
      </c>
      <c r="R279" s="192"/>
      <c r="S279" s="192">
        <f>IF(AND(Daten!$AD279&lt;=Limits!$I$70,Daten!$AE279&gt;=Limits!$I$70)=TRUE,1,0)</f>
        <v>0</v>
      </c>
      <c r="T279" s="193">
        <f ca="1">IF(Daten!$Y279=Sprache!$A$135,1,0)</f>
        <v>0</v>
      </c>
      <c r="U279" s="124" t="str">
        <f ca="1">Sprache!$A$65</f>
        <v>T-75 Поворотный подъемник</v>
      </c>
      <c r="V279" s="194">
        <v>13</v>
      </c>
      <c r="W279" s="193">
        <v>13</v>
      </c>
      <c r="X279" s="187" t="str">
        <f ca="1">Sprache!$A$141</f>
        <v>Alu</v>
      </c>
      <c r="Y279" s="187" t="str">
        <f ca="1">Sprache!$A$136</f>
        <v>nein</v>
      </c>
      <c r="Z279" s="187" t="str">
        <f ca="1">Sprache!$A$79</f>
        <v>Створка</v>
      </c>
      <c r="AA279" s="187">
        <v>500</v>
      </c>
      <c r="AB279" s="124">
        <v>549</v>
      </c>
      <c r="AC279" s="187"/>
      <c r="AD279" s="195">
        <v>5.8</v>
      </c>
      <c r="AE279" s="196">
        <v>8.5</v>
      </c>
      <c r="AF279" s="263" t="str">
        <f>MID(Tabelle2[[#This Row],[bnr full]],1,4)</f>
        <v>F151</v>
      </c>
      <c r="AG279" s="264" t="str">
        <f>MID(Tabelle2[[#This Row],[bnr full]],5,3)</f>
        <v>147</v>
      </c>
      <c r="AH279" s="265" t="str">
        <f>MID(Tabelle2[[#This Row],[bnr full]],8,3)</f>
        <v>702</v>
      </c>
      <c r="AI279" s="264" t="str">
        <f>MID(Tabelle2[[#This Row],[bnr full]],11,3)</f>
        <v>201</v>
      </c>
      <c r="AJ279" s="252" t="str">
        <f>MID(Tabelle2[[#This Row],[bnr full]],11,3)</f>
        <v>201</v>
      </c>
      <c r="AK279" s="197" t="s">
        <v>794</v>
      </c>
      <c r="AL279" s="124" t="str">
        <f ca="1">Sprache!$A$111</f>
        <v>Комплект (Л + П)</v>
      </c>
      <c r="AM279" s="187" t="s">
        <v>25</v>
      </c>
      <c r="AN279" s="187" t="str">
        <f ca="1">Sprache!$A$125</f>
        <v>Пружина, стандарт</v>
      </c>
      <c r="AO279" s="187" t="s">
        <v>25</v>
      </c>
      <c r="AP279" s="187" t="s">
        <v>25</v>
      </c>
      <c r="AQ279" s="187">
        <f>Limits!$K$9</f>
        <v>200</v>
      </c>
      <c r="AR279" s="124">
        <v>1200</v>
      </c>
      <c r="AS279" s="187"/>
      <c r="AT279" s="124"/>
      <c r="AU279"/>
      <c r="AV279"/>
      <c r="AY279"/>
      <c r="AZ279"/>
      <c r="BA279"/>
      <c r="BB279"/>
      <c r="BC279"/>
    </row>
    <row r="280" spans="1:55" hidden="1" x14ac:dyDescent="0.25">
      <c r="A280" s="12" t="str">
        <f ca="1">IF(F280+G280+H280+I280+J280+D280+E280=3,IF(Tabelle2[[#This Row],[Kappe Weiß]]=Limits!$R$29,1,""),"")</f>
        <v/>
      </c>
      <c r="B280" s="12" t="str">
        <f ca="1">IF(G280+H280+I280+J280+E280+F280=2,IF(Tabelle2[[#This Row],[Kappe Weiß]]=Limits!$R$29,1,""),"")</f>
        <v/>
      </c>
      <c r="C280" s="291">
        <v>0</v>
      </c>
      <c r="D280" s="171">
        <f>IF(Limits!$P$9=TRUE,1,0)</f>
        <v>0</v>
      </c>
      <c r="E280" s="172">
        <f>IF(Daten!$P280+Daten!$Q280+Daten!$S280=3,1,0)</f>
        <v>0</v>
      </c>
      <c r="F280" s="173">
        <f ca="1">IF(AND(Limits!$Q$21=TRUE,Daten!O280=1)=TRUE,1,0)</f>
        <v>0</v>
      </c>
      <c r="G280" s="174">
        <f>IF(AND(Limits!$Q$25=TRUE,Daten!N280=1)=TRUE,1,0)</f>
        <v>0</v>
      </c>
      <c r="H280" s="174">
        <f>IF(AND(Limits!$Q$24=TRUE,Daten!M280=1)=TRUE,1,0)</f>
        <v>0</v>
      </c>
      <c r="I280" s="174">
        <f>IF(AND(Limits!$Q$23=TRUE,Daten!L280=1)=TRUE,1,0)</f>
        <v>0</v>
      </c>
      <c r="J280" s="174">
        <f>IF(AND(Limits!$Q$22=TRUE,Daten!K280=1)=TRUE,1,0)</f>
        <v>0</v>
      </c>
      <c r="K280" s="188">
        <f>IF(Daten!$V280=13,1,0)</f>
        <v>0</v>
      </c>
      <c r="L280" s="189">
        <f>IF(Daten!$V280&lt;&gt;Daten!$W280,1,IF(Daten!$V280=14,1,0))</f>
        <v>1</v>
      </c>
      <c r="M280" s="189">
        <f>IF(Daten!$V280&lt;&gt;Daten!$W280,1,IF(Daten!$V280=16,1,0))</f>
        <v>0</v>
      </c>
      <c r="N280" s="189">
        <f>IF(Daten!$W280=17,1,0)</f>
        <v>0</v>
      </c>
      <c r="O280" s="190">
        <f ca="1">IF(Daten!$X280=Sprache!$A$70,1,0)</f>
        <v>0</v>
      </c>
      <c r="P280" s="191">
        <f>IF(AND(Daten!$AQ280&lt;=KINVARO!$AW$3,Daten!$AR280&gt;=KINVARO!$AW$3)=TRUE,1,0)</f>
        <v>1</v>
      </c>
      <c r="Q280" s="192">
        <f>IF(AND(Daten!$AA280&lt;=KINVARO!$AW$4,Daten!$AB280&gt;=KINVARO!$AW$4)=TRUE,1,0)</f>
        <v>0</v>
      </c>
      <c r="R280" s="192"/>
      <c r="S280" s="192">
        <f>IF(AND(Daten!$AD280&lt;=Limits!$I$70,Daten!$AE280&gt;=Limits!$I$70)=TRUE,1,0)</f>
        <v>0</v>
      </c>
      <c r="T280" s="193">
        <f ca="1">IF(Daten!$Y280=Sprache!$A$135,1,0)</f>
        <v>0</v>
      </c>
      <c r="U280" s="124" t="str">
        <f ca="1">Sprache!$A$65</f>
        <v>T-75 Поворотный подъемник</v>
      </c>
      <c r="V280" s="194">
        <v>14</v>
      </c>
      <c r="W280" s="193">
        <v>14</v>
      </c>
      <c r="X280" s="187" t="str">
        <f ca="1">Sprache!$A$141</f>
        <v>Alu</v>
      </c>
      <c r="Y280" s="187" t="str">
        <f ca="1">Sprache!$A$136</f>
        <v>nein</v>
      </c>
      <c r="Z280" s="187" t="str">
        <f ca="1">Sprache!$A$79</f>
        <v>Створка</v>
      </c>
      <c r="AA280" s="187">
        <v>500</v>
      </c>
      <c r="AB280" s="124">
        <v>549</v>
      </c>
      <c r="AC280" s="187"/>
      <c r="AD280" s="195">
        <v>5.8</v>
      </c>
      <c r="AE280" s="196">
        <v>8.5</v>
      </c>
      <c r="AF280" s="263" t="str">
        <f>MID(Tabelle2[[#This Row],[bnr full]],1,4)</f>
        <v>F151</v>
      </c>
      <c r="AG280" s="264" t="str">
        <f>MID(Tabelle2[[#This Row],[bnr full]],5,3)</f>
        <v>147</v>
      </c>
      <c r="AH280" s="265" t="str">
        <f>MID(Tabelle2[[#This Row],[bnr full]],8,3)</f>
        <v>703</v>
      </c>
      <c r="AI280" s="264" t="str">
        <f>MID(Tabelle2[[#This Row],[bnr full]],11,3)</f>
        <v>201</v>
      </c>
      <c r="AJ280" s="252" t="str">
        <f>MID(Tabelle2[[#This Row],[bnr full]],11,3)</f>
        <v>201</v>
      </c>
      <c r="AK280" s="197" t="s">
        <v>795</v>
      </c>
      <c r="AL280" s="124" t="str">
        <f ca="1">Sprache!$A$111</f>
        <v>Комплект (Л + П)</v>
      </c>
      <c r="AM280" s="187" t="s">
        <v>25</v>
      </c>
      <c r="AN280" s="187" t="str">
        <f ca="1">Sprache!$A$125</f>
        <v>Пружина, стандарт</v>
      </c>
      <c r="AO280" s="187" t="s">
        <v>25</v>
      </c>
      <c r="AP280" s="187" t="s">
        <v>25</v>
      </c>
      <c r="AQ280" s="187">
        <f>Limits!$K$9</f>
        <v>200</v>
      </c>
      <c r="AR280" s="124">
        <v>1200</v>
      </c>
      <c r="AS280" s="187"/>
      <c r="AT280" s="124"/>
      <c r="AU280"/>
      <c r="AV280"/>
      <c r="AY280"/>
      <c r="AZ280"/>
      <c r="BA280"/>
      <c r="BB280"/>
      <c r="BC280"/>
    </row>
    <row r="281" spans="1:55" hidden="1" x14ac:dyDescent="0.25">
      <c r="A281" s="12" t="str">
        <f ca="1">IF(F281+G281+H281+I281+J281+D281+E281=3,IF(Tabelle2[[#This Row],[Kappe Weiß]]=Limits!$R$29,1,""),"")</f>
        <v/>
      </c>
      <c r="B281" s="12" t="str">
        <f ca="1">IF(G281+H281+I281+J281+E281+F281=2,IF(Tabelle2[[#This Row],[Kappe Weiß]]=Limits!$R$29,1,""),"")</f>
        <v/>
      </c>
      <c r="C281" s="291">
        <v>0</v>
      </c>
      <c r="D281" s="171">
        <f>IF(Limits!$P$9=TRUE,1,0)</f>
        <v>0</v>
      </c>
      <c r="E281" s="172">
        <f>IF(Daten!$P281+Daten!$Q281+Daten!$S281=3,1,0)</f>
        <v>0</v>
      </c>
      <c r="F281" s="173">
        <f ca="1">IF(AND(Limits!$Q$21=TRUE,Daten!O281=1)=TRUE,1,0)</f>
        <v>0</v>
      </c>
      <c r="G281" s="174">
        <f>IF(AND(Limits!$Q$25=TRUE,Daten!N281=1)=TRUE,1,0)</f>
        <v>0</v>
      </c>
      <c r="H281" s="174">
        <f>IF(AND(Limits!$Q$24=TRUE,Daten!M281=1)=TRUE,1,0)</f>
        <v>0</v>
      </c>
      <c r="I281" s="174">
        <f>IF(AND(Limits!$Q$23=TRUE,Daten!L281=1)=TRUE,1,0)</f>
        <v>0</v>
      </c>
      <c r="J281" s="174">
        <f>IF(AND(Limits!$Q$22=TRUE,Daten!K281=1)=TRUE,1,0)</f>
        <v>0</v>
      </c>
      <c r="K281" s="188">
        <f>IF(Daten!$V281=13,1,0)</f>
        <v>0</v>
      </c>
      <c r="L281" s="189">
        <f>IF(Daten!$V281&lt;&gt;Daten!$W281,1,IF(Daten!$V281=14,1,0))</f>
        <v>0</v>
      </c>
      <c r="M281" s="189">
        <f>IF(Daten!$V281&lt;&gt;Daten!$W281,1,IF(Daten!$V281=16,1,0))</f>
        <v>1</v>
      </c>
      <c r="N281" s="189">
        <f>IF(Daten!$W281=17,1,0)</f>
        <v>0</v>
      </c>
      <c r="O281" s="190">
        <f ca="1">IF(Daten!$X281=Sprache!$A$70,1,0)</f>
        <v>0</v>
      </c>
      <c r="P281" s="191">
        <f>IF(AND(Daten!$AQ281&lt;=KINVARO!$AW$3,Daten!$AR281&gt;=KINVARO!$AW$3)=TRUE,1,0)</f>
        <v>1</v>
      </c>
      <c r="Q281" s="192">
        <f>IF(AND(Daten!$AA281&lt;=KINVARO!$AW$4,Daten!$AB281&gt;=KINVARO!$AW$4)=TRUE,1,0)</f>
        <v>0</v>
      </c>
      <c r="R281" s="192"/>
      <c r="S281" s="192">
        <f>IF(AND(Daten!$AD281&lt;=Limits!$I$70,Daten!$AE281&gt;=Limits!$I$70)=TRUE,1,0)</f>
        <v>0</v>
      </c>
      <c r="T281" s="193">
        <f ca="1">IF(Daten!$Y281=Sprache!$A$135,1,0)</f>
        <v>0</v>
      </c>
      <c r="U281" s="124" t="str">
        <f ca="1">Sprache!$A$65</f>
        <v>T-75 Поворотный подъемник</v>
      </c>
      <c r="V281" s="194">
        <v>16</v>
      </c>
      <c r="W281" s="193">
        <v>16</v>
      </c>
      <c r="X281" s="187" t="str">
        <f ca="1">Sprache!$A$141</f>
        <v>Alu</v>
      </c>
      <c r="Y281" s="187" t="str">
        <f ca="1">Sprache!$A$136</f>
        <v>nein</v>
      </c>
      <c r="Z281" s="187" t="str">
        <f ca="1">Sprache!$A$79</f>
        <v>Створка</v>
      </c>
      <c r="AA281" s="187">
        <v>500</v>
      </c>
      <c r="AB281" s="124">
        <v>549</v>
      </c>
      <c r="AC281" s="187"/>
      <c r="AD281" s="195">
        <v>5.8</v>
      </c>
      <c r="AE281" s="196">
        <v>8.5</v>
      </c>
      <c r="AF281" s="263" t="str">
        <f>MID(Tabelle2[[#This Row],[bnr full]],1,4)</f>
        <v>F151</v>
      </c>
      <c r="AG281" s="264" t="str">
        <f>MID(Tabelle2[[#This Row],[bnr full]],5,3)</f>
        <v>147</v>
      </c>
      <c r="AH281" s="265" t="str">
        <f>MID(Tabelle2[[#This Row],[bnr full]],8,3)</f>
        <v>704</v>
      </c>
      <c r="AI281" s="264" t="str">
        <f>MID(Tabelle2[[#This Row],[bnr full]],11,3)</f>
        <v>201</v>
      </c>
      <c r="AJ281" s="252" t="str">
        <f>MID(Tabelle2[[#This Row],[bnr full]],11,3)</f>
        <v>201</v>
      </c>
      <c r="AK281" s="197" t="s">
        <v>796</v>
      </c>
      <c r="AL281" s="124" t="str">
        <f ca="1">Sprache!$A$111</f>
        <v>Комплект (Л + П)</v>
      </c>
      <c r="AM281" s="187" t="s">
        <v>25</v>
      </c>
      <c r="AN281" s="187" t="str">
        <f ca="1">Sprache!$A$125</f>
        <v>Пружина, стандарт</v>
      </c>
      <c r="AO281" s="187" t="s">
        <v>25</v>
      </c>
      <c r="AP281" s="187" t="s">
        <v>25</v>
      </c>
      <c r="AQ281" s="187">
        <f>Limits!$K$9</f>
        <v>200</v>
      </c>
      <c r="AR281" s="124">
        <v>1200</v>
      </c>
      <c r="AS281" s="187"/>
      <c r="AT281" s="124"/>
      <c r="AU281"/>
      <c r="AV281"/>
      <c r="AY281"/>
      <c r="AZ281"/>
      <c r="BA281"/>
      <c r="BB281"/>
      <c r="BC281"/>
    </row>
    <row r="282" spans="1:55" hidden="1" x14ac:dyDescent="0.25">
      <c r="A282" s="12" t="str">
        <f ca="1">IF(F282+G282+H282+I282+J282+D282+E282=3,IF(Tabelle2[[#This Row],[Kappe Weiß]]=Limits!$R$29,1,""),"")</f>
        <v/>
      </c>
      <c r="B282" s="12" t="str">
        <f ca="1">IF(G282+H282+I282+J282+E282+F282=2,IF(Tabelle2[[#This Row],[Kappe Weiß]]=Limits!$R$29,1,""),"")</f>
        <v/>
      </c>
      <c r="C282" s="291">
        <v>0</v>
      </c>
      <c r="D282" s="171">
        <f>IF(Limits!$P$9=TRUE,1,0)</f>
        <v>0</v>
      </c>
      <c r="E282" s="172">
        <f>IF(Daten!$P282+Daten!$Q282+Daten!$S282=3,1,0)</f>
        <v>0</v>
      </c>
      <c r="F282" s="173">
        <f ca="1">IF(AND(Limits!$Q$21=TRUE,Daten!O282=1)=TRUE,1,0)</f>
        <v>0</v>
      </c>
      <c r="G282" s="174">
        <f>IF(AND(Limits!$Q$25=TRUE,Daten!N282=1)=TRUE,1,0)</f>
        <v>0</v>
      </c>
      <c r="H282" s="174">
        <f>IF(AND(Limits!$Q$24=TRUE,Daten!M282=1)=TRUE,1,0)</f>
        <v>0</v>
      </c>
      <c r="I282" s="174">
        <f>IF(AND(Limits!$Q$23=TRUE,Daten!L282=1)=TRUE,1,0)</f>
        <v>0</v>
      </c>
      <c r="J282" s="174">
        <f>IF(AND(Limits!$Q$22=TRUE,Daten!K282=1)=TRUE,1,0)</f>
        <v>0</v>
      </c>
      <c r="K282" s="188">
        <f>IF(Daten!$V282=13,1,0)</f>
        <v>0</v>
      </c>
      <c r="L282" s="189">
        <f>IF(Daten!$V282&lt;&gt;Daten!$W282,1,IF(Daten!$V282=14,1,0))</f>
        <v>0</v>
      </c>
      <c r="M282" s="189">
        <f>IF(Daten!$V282&lt;&gt;Daten!$W282,1,IF(Daten!$V282=16,1,0))</f>
        <v>0</v>
      </c>
      <c r="N282" s="189">
        <f>IF(Daten!$W282=17,1,0)</f>
        <v>1</v>
      </c>
      <c r="O282" s="190">
        <f ca="1">IF(Daten!$X282=Sprache!$A$70,1,0)</f>
        <v>0</v>
      </c>
      <c r="P282" s="191">
        <f>IF(AND(Daten!$AQ282&lt;=KINVARO!$AW$3,Daten!$AR282&gt;=KINVARO!$AW$3)=TRUE,1,0)</f>
        <v>1</v>
      </c>
      <c r="Q282" s="192">
        <f>IF(AND(Daten!$AA282&lt;=KINVARO!$AW$4,Daten!$AB282&gt;=KINVARO!$AW$4)=TRUE,1,0)</f>
        <v>0</v>
      </c>
      <c r="R282" s="192"/>
      <c r="S282" s="192">
        <f>IF(AND(Daten!$AD282&lt;=Limits!$I$70,Daten!$AE282&gt;=Limits!$I$70)=TRUE,1,0)</f>
        <v>0</v>
      </c>
      <c r="T282" s="193">
        <f ca="1">IF(Daten!$Y282=Sprache!$A$135,1,0)</f>
        <v>0</v>
      </c>
      <c r="U282" s="124" t="str">
        <f ca="1">Sprache!$A$65</f>
        <v>T-75 Поворотный подъемник</v>
      </c>
      <c r="V282" s="194">
        <v>17</v>
      </c>
      <c r="W282" s="193">
        <v>17</v>
      </c>
      <c r="X282" s="187" t="str">
        <f ca="1">Sprache!$A$141</f>
        <v>Alu</v>
      </c>
      <c r="Y282" s="187" t="str">
        <f ca="1">Sprache!$A$136</f>
        <v>nein</v>
      </c>
      <c r="Z282" s="187" t="str">
        <f ca="1">Sprache!$A$79</f>
        <v>Створка</v>
      </c>
      <c r="AA282" s="187">
        <v>500</v>
      </c>
      <c r="AB282" s="124">
        <v>549</v>
      </c>
      <c r="AC282" s="187"/>
      <c r="AD282" s="195">
        <v>5.8</v>
      </c>
      <c r="AE282" s="196">
        <v>8.5</v>
      </c>
      <c r="AF282" s="263" t="str">
        <f>MID(Tabelle2[[#This Row],[bnr full]],1,4)</f>
        <v>F151</v>
      </c>
      <c r="AG282" s="264" t="str">
        <f>MID(Tabelle2[[#This Row],[bnr full]],5,3)</f>
        <v>147</v>
      </c>
      <c r="AH282" s="265" t="str">
        <f>MID(Tabelle2[[#This Row],[bnr full]],8,3)</f>
        <v>705</v>
      </c>
      <c r="AI282" s="264" t="str">
        <f>MID(Tabelle2[[#This Row],[bnr full]],11,3)</f>
        <v>201</v>
      </c>
      <c r="AJ282" s="252" t="str">
        <f>MID(Tabelle2[[#This Row],[bnr full]],11,3)</f>
        <v>201</v>
      </c>
      <c r="AK282" s="197" t="s">
        <v>797</v>
      </c>
      <c r="AL282" s="124" t="str">
        <f ca="1">Sprache!$A$111</f>
        <v>Комплект (Л + П)</v>
      </c>
      <c r="AM282" s="187" t="s">
        <v>25</v>
      </c>
      <c r="AN282" s="187" t="str">
        <f ca="1">Sprache!$A$125</f>
        <v>Пружина, стандарт</v>
      </c>
      <c r="AO282" s="187" t="s">
        <v>25</v>
      </c>
      <c r="AP282" s="187" t="s">
        <v>25</v>
      </c>
      <c r="AQ282" s="187">
        <f>Limits!$K$9</f>
        <v>200</v>
      </c>
      <c r="AR282" s="124">
        <v>1200</v>
      </c>
      <c r="AS282" s="187"/>
      <c r="AT282" s="124"/>
      <c r="AU282"/>
      <c r="AV282"/>
      <c r="AY282"/>
      <c r="AZ282"/>
      <c r="BA282"/>
      <c r="BB282"/>
      <c r="BC282"/>
    </row>
    <row r="283" spans="1:55" hidden="1" x14ac:dyDescent="0.25">
      <c r="A283" s="12" t="str">
        <f ca="1">IF(F283+G283+H283+I283+J283+D283+E283=3,IF(Tabelle2[[#This Row],[Kappe Weiß]]=Limits!$R$29,1,""),"")</f>
        <v/>
      </c>
      <c r="B283" s="12" t="str">
        <f ca="1">IF(G283+H283+I283+J283+E283+F283=2,IF(Tabelle2[[#This Row],[Kappe Weiß]]=Limits!$R$29,1,""),"")</f>
        <v/>
      </c>
      <c r="C283" s="292">
        <v>0</v>
      </c>
      <c r="D283" s="171">
        <f>IF(Limits!$P$9=TRUE,1,0)</f>
        <v>0</v>
      </c>
      <c r="E283" s="172">
        <f>IF(Daten!$P283+Daten!$Q283+Daten!$S283=3,1,0)</f>
        <v>0</v>
      </c>
      <c r="F283" s="173">
        <f ca="1">IF(AND(Limits!$Q$21=TRUE,Daten!O283=1)=TRUE,1,0)</f>
        <v>1</v>
      </c>
      <c r="G283" s="174">
        <f ca="1">IF(AND(Limits!$Q$25=TRUE,Daten!N283=1)=TRUE,1,0)</f>
        <v>0</v>
      </c>
      <c r="H283" s="174">
        <f ca="1">IF(AND(Limits!$Q$24=TRUE,Daten!M283=1)=TRUE,1,0)</f>
        <v>0</v>
      </c>
      <c r="I283" s="174">
        <f ca="1">IF(AND(Limits!$Q$23=TRUE,Daten!L283=1)=TRUE,1,0)</f>
        <v>0</v>
      </c>
      <c r="J283" s="174">
        <f ca="1">IF(AND(Limits!$Q$22=TRUE,Daten!K283=1)=TRUE,1,0)</f>
        <v>0</v>
      </c>
      <c r="K283" s="188">
        <f ca="1">IF(Daten!$V283=13,1,0)</f>
        <v>0</v>
      </c>
      <c r="L283" s="189">
        <f ca="1">IF(Daten!$V283&lt;&gt;Daten!$W283,1,IF(Daten!$V283=14,1,0))</f>
        <v>0</v>
      </c>
      <c r="M283" s="189">
        <f ca="1">IF(Daten!$V283&lt;&gt;Daten!$W283,1,IF(Daten!$V283=16,1,0))</f>
        <v>0</v>
      </c>
      <c r="N283" s="189">
        <f ca="1">IF(Daten!$W283=17,1,0)</f>
        <v>0</v>
      </c>
      <c r="O283" s="190">
        <f ca="1">IF(Daten!$X283=Sprache!$A$70,1,0)</f>
        <v>1</v>
      </c>
      <c r="P283" s="198">
        <f>IF(AND(Daten!$AQ283&lt;=KINVARO!$AW$3,Daten!$AR283&gt;=KINVARO!$AW$3)=TRUE,1,0)</f>
        <v>1</v>
      </c>
      <c r="Q283" s="199">
        <f>IF(AND(Daten!$AA283&lt;=KINVARO!$AW$4,Daten!$AB283&gt;=KINVARO!$AW$4)=TRUE,1,0)</f>
        <v>0</v>
      </c>
      <c r="R283" s="199"/>
      <c r="S283" s="199">
        <f>IF(AND(Daten!$AD283&lt;=Limits!$I$70,Daten!$AE283&gt;=Limits!$I$70)=TRUE,1,0)</f>
        <v>0</v>
      </c>
      <c r="T283" s="200">
        <f ca="1">IF(Daten!$Y283=Sprache!$A$135,1,0)</f>
        <v>0</v>
      </c>
      <c r="U283" s="201" t="str">
        <f ca="1">Sprache!$A$65</f>
        <v>T-75 Поворотный подъемник</v>
      </c>
      <c r="V283" s="202" t="str">
        <f ca="1">Sprache!$A$74</f>
        <v>var</v>
      </c>
      <c r="W283" s="200" t="str">
        <f ca="1">Sprache!$A$74</f>
        <v>var</v>
      </c>
      <c r="X283" s="203" t="str">
        <f ca="1">Sprache!$A$70</f>
        <v>соединение с древесиной</v>
      </c>
      <c r="Y283" s="187" t="str">
        <f ca="1">Sprache!$A$136</f>
        <v>nein</v>
      </c>
      <c r="Z283" s="203" t="str">
        <f ca="1">Sprache!$A$79</f>
        <v>Створка</v>
      </c>
      <c r="AA283" s="203">
        <v>550</v>
      </c>
      <c r="AB283" s="201">
        <v>599</v>
      </c>
      <c r="AC283" s="203"/>
      <c r="AD283" s="204">
        <v>5.6</v>
      </c>
      <c r="AE283" s="205">
        <v>7.6</v>
      </c>
      <c r="AF283" s="266" t="str">
        <f>MID(Tabelle2[[#This Row],[bnr full]],1,4)</f>
        <v>F151</v>
      </c>
      <c r="AG283" s="267" t="str">
        <f>MID(Tabelle2[[#This Row],[bnr full]],5,3)</f>
        <v>147</v>
      </c>
      <c r="AH283" s="268" t="str">
        <f>MID(Tabelle2[[#This Row],[bnr full]],8,3)</f>
        <v>699</v>
      </c>
      <c r="AI283" s="267" t="str">
        <f>MID(Tabelle2[[#This Row],[bnr full]],11,3)</f>
        <v>201</v>
      </c>
      <c r="AJ283" s="253" t="str">
        <f>MID(Tabelle2[[#This Row],[bnr full]],11,3)</f>
        <v>201</v>
      </c>
      <c r="AK283" s="206" t="s">
        <v>793</v>
      </c>
      <c r="AL283" s="201" t="str">
        <f ca="1">Sprache!$A$111</f>
        <v>Комплект (Л + П)</v>
      </c>
      <c r="AM283" s="203" t="s">
        <v>25</v>
      </c>
      <c r="AN283" s="203" t="str">
        <f ca="1">Sprache!$A$125</f>
        <v>Пружина, стандарт</v>
      </c>
      <c r="AO283" s="187" t="s">
        <v>25</v>
      </c>
      <c r="AP283" s="187" t="s">
        <v>25</v>
      </c>
      <c r="AQ283" s="203">
        <f>Limits!$K$9</f>
        <v>200</v>
      </c>
      <c r="AR283" s="201">
        <v>1200</v>
      </c>
      <c r="AS283" s="187"/>
      <c r="AT283" s="124"/>
      <c r="AU283"/>
      <c r="AV283"/>
      <c r="AY283"/>
      <c r="AZ283"/>
      <c r="BA283"/>
      <c r="BB283"/>
      <c r="BC283"/>
    </row>
    <row r="284" spans="1:55" hidden="1" x14ac:dyDescent="0.25">
      <c r="A284" s="12" t="str">
        <f ca="1">IF(F284+G284+H284+I284+J284+D284+E284=3,IF(Tabelle2[[#This Row],[Kappe Weiß]]=Limits!$R$29,1,""),"")</f>
        <v/>
      </c>
      <c r="B284" s="12" t="str">
        <f ca="1">IF(G284+H284+I284+J284+E284+F284=2,IF(Tabelle2[[#This Row],[Kappe Weiß]]=Limits!$R$29,1,""),"")</f>
        <v/>
      </c>
      <c r="C284" s="291">
        <v>0</v>
      </c>
      <c r="D284" s="171">
        <f>IF(Limits!$P$9=TRUE,1,0)</f>
        <v>0</v>
      </c>
      <c r="E284" s="172">
        <f>IF(Daten!$P284+Daten!$Q284+Daten!$S284=3,1,0)</f>
        <v>0</v>
      </c>
      <c r="F284" s="173">
        <f ca="1">IF(AND(Limits!$Q$21=TRUE,Daten!O284=1)=TRUE,1,0)</f>
        <v>0</v>
      </c>
      <c r="G284" s="174">
        <f>IF(AND(Limits!$Q$25=TRUE,Daten!N284=1)=TRUE,1,0)</f>
        <v>0</v>
      </c>
      <c r="H284" s="174">
        <f>IF(AND(Limits!$Q$24=TRUE,Daten!M284=1)=TRUE,1,0)</f>
        <v>0</v>
      </c>
      <c r="I284" s="174">
        <f>IF(AND(Limits!$Q$23=TRUE,Daten!L284=1)=TRUE,1,0)</f>
        <v>0</v>
      </c>
      <c r="J284" s="174">
        <f>IF(AND(Limits!$Q$22=TRUE,Daten!K284=1)=TRUE,1,0)</f>
        <v>0</v>
      </c>
      <c r="K284" s="188">
        <f>IF(Daten!$V284=13,1,0)</f>
        <v>1</v>
      </c>
      <c r="L284" s="189">
        <f>IF(Daten!$V284&lt;&gt;Daten!$W284,1,IF(Daten!$V284=14,1,0))</f>
        <v>0</v>
      </c>
      <c r="M284" s="189">
        <f>IF(Daten!$V284&lt;&gt;Daten!$W284,1,IF(Daten!$V284=16,1,0))</f>
        <v>0</v>
      </c>
      <c r="N284" s="189">
        <f>IF(Daten!$W284=17,1,0)</f>
        <v>0</v>
      </c>
      <c r="O284" s="190">
        <f ca="1">IF(Daten!$X284=Sprache!$A$70,1,0)</f>
        <v>0</v>
      </c>
      <c r="P284" s="191">
        <f>IF(AND(Daten!$AQ284&lt;=KINVARO!$AW$3,Daten!$AR284&gt;=KINVARO!$AW$3)=TRUE,1,0)</f>
        <v>1</v>
      </c>
      <c r="Q284" s="192">
        <f>IF(AND(Daten!$AA284&lt;=KINVARO!$AW$4,Daten!$AB284&gt;=KINVARO!$AW$4)=TRUE,1,0)</f>
        <v>0</v>
      </c>
      <c r="R284" s="192"/>
      <c r="S284" s="192">
        <f>IF(AND(Daten!$AD284&lt;=Limits!$I$70,Daten!$AE284&gt;=Limits!$I$70)=TRUE,1,0)</f>
        <v>0</v>
      </c>
      <c r="T284" s="193">
        <f ca="1">IF(Daten!$Y284=Sprache!$A$135,1,0)</f>
        <v>0</v>
      </c>
      <c r="U284" s="124" t="str">
        <f ca="1">Sprache!$A$65</f>
        <v>T-75 Поворотный подъемник</v>
      </c>
      <c r="V284" s="194">
        <v>13</v>
      </c>
      <c r="W284" s="193">
        <v>13</v>
      </c>
      <c r="X284" s="187" t="str">
        <f ca="1">Sprache!$A$141</f>
        <v>Alu</v>
      </c>
      <c r="Y284" s="187" t="str">
        <f ca="1">Sprache!$A$136</f>
        <v>nein</v>
      </c>
      <c r="Z284" s="187" t="str">
        <f ca="1">Sprache!$A$79</f>
        <v>Створка</v>
      </c>
      <c r="AA284" s="187">
        <v>550</v>
      </c>
      <c r="AB284" s="124">
        <v>599</v>
      </c>
      <c r="AC284" s="187"/>
      <c r="AD284" s="195">
        <v>5.6</v>
      </c>
      <c r="AE284" s="196">
        <v>7.6</v>
      </c>
      <c r="AF284" s="263" t="str">
        <f>MID(Tabelle2[[#This Row],[bnr full]],1,4)</f>
        <v>F151</v>
      </c>
      <c r="AG284" s="264" t="str">
        <f>MID(Tabelle2[[#This Row],[bnr full]],5,3)</f>
        <v>147</v>
      </c>
      <c r="AH284" s="265" t="str">
        <f>MID(Tabelle2[[#This Row],[bnr full]],8,3)</f>
        <v>702</v>
      </c>
      <c r="AI284" s="264" t="str">
        <f>MID(Tabelle2[[#This Row],[bnr full]],11,3)</f>
        <v>201</v>
      </c>
      <c r="AJ284" s="252" t="str">
        <f>MID(Tabelle2[[#This Row],[bnr full]],11,3)</f>
        <v>201</v>
      </c>
      <c r="AK284" s="197" t="s">
        <v>794</v>
      </c>
      <c r="AL284" s="124" t="str">
        <f ca="1">Sprache!$A$111</f>
        <v>Комплект (Л + П)</v>
      </c>
      <c r="AM284" s="187" t="s">
        <v>25</v>
      </c>
      <c r="AN284" s="187" t="str">
        <f ca="1">Sprache!$A$125</f>
        <v>Пружина, стандарт</v>
      </c>
      <c r="AO284" s="187" t="s">
        <v>25</v>
      </c>
      <c r="AP284" s="187" t="s">
        <v>25</v>
      </c>
      <c r="AQ284" s="187">
        <f>Limits!$K$9</f>
        <v>200</v>
      </c>
      <c r="AR284" s="124">
        <v>1200</v>
      </c>
      <c r="AS284" s="187"/>
      <c r="AT284" s="124"/>
      <c r="AU284"/>
      <c r="AV284"/>
      <c r="AY284"/>
      <c r="AZ284"/>
      <c r="BA284"/>
      <c r="BB284"/>
      <c r="BC284"/>
    </row>
    <row r="285" spans="1:55" hidden="1" x14ac:dyDescent="0.25">
      <c r="A285" s="12" t="str">
        <f ca="1">IF(F285+G285+H285+I285+J285+D285+E285=3,IF(Tabelle2[[#This Row],[Kappe Weiß]]=Limits!$R$29,1,""),"")</f>
        <v/>
      </c>
      <c r="B285" s="12" t="str">
        <f ca="1">IF(G285+H285+I285+J285+E285+F285=2,IF(Tabelle2[[#This Row],[Kappe Weiß]]=Limits!$R$29,1,""),"")</f>
        <v/>
      </c>
      <c r="C285" s="291">
        <v>0</v>
      </c>
      <c r="D285" s="171">
        <f>IF(Limits!$P$9=TRUE,1,0)</f>
        <v>0</v>
      </c>
      <c r="E285" s="172">
        <f>IF(Daten!$P285+Daten!$Q285+Daten!$S285=3,1,0)</f>
        <v>0</v>
      </c>
      <c r="F285" s="173">
        <f ca="1">IF(AND(Limits!$Q$21=TRUE,Daten!O285=1)=TRUE,1,0)</f>
        <v>0</v>
      </c>
      <c r="G285" s="174">
        <f>IF(AND(Limits!$Q$25=TRUE,Daten!N285=1)=TRUE,1,0)</f>
        <v>0</v>
      </c>
      <c r="H285" s="174">
        <f>IF(AND(Limits!$Q$24=TRUE,Daten!M285=1)=TRUE,1,0)</f>
        <v>0</v>
      </c>
      <c r="I285" s="174">
        <f>IF(AND(Limits!$Q$23=TRUE,Daten!L285=1)=TRUE,1,0)</f>
        <v>0</v>
      </c>
      <c r="J285" s="174">
        <f>IF(AND(Limits!$Q$22=TRUE,Daten!K285=1)=TRUE,1,0)</f>
        <v>0</v>
      </c>
      <c r="K285" s="188">
        <f>IF(Daten!$V285=13,1,0)</f>
        <v>0</v>
      </c>
      <c r="L285" s="189">
        <f>IF(Daten!$V285&lt;&gt;Daten!$W285,1,IF(Daten!$V285=14,1,0))</f>
        <v>1</v>
      </c>
      <c r="M285" s="189">
        <f>IF(Daten!$V285&lt;&gt;Daten!$W285,1,IF(Daten!$V285=16,1,0))</f>
        <v>0</v>
      </c>
      <c r="N285" s="189">
        <f>IF(Daten!$W285=17,1,0)</f>
        <v>0</v>
      </c>
      <c r="O285" s="190">
        <f ca="1">IF(Daten!$X285=Sprache!$A$70,1,0)</f>
        <v>0</v>
      </c>
      <c r="P285" s="191">
        <f>IF(AND(Daten!$AQ285&lt;=KINVARO!$AW$3,Daten!$AR285&gt;=KINVARO!$AW$3)=TRUE,1,0)</f>
        <v>1</v>
      </c>
      <c r="Q285" s="192">
        <f>IF(AND(Daten!$AA285&lt;=KINVARO!$AW$4,Daten!$AB285&gt;=KINVARO!$AW$4)=TRUE,1,0)</f>
        <v>0</v>
      </c>
      <c r="R285" s="192"/>
      <c r="S285" s="192">
        <f>IF(AND(Daten!$AD285&lt;=Limits!$I$70,Daten!$AE285&gt;=Limits!$I$70)=TRUE,1,0)</f>
        <v>0</v>
      </c>
      <c r="T285" s="193">
        <f ca="1">IF(Daten!$Y285=Sprache!$A$135,1,0)</f>
        <v>0</v>
      </c>
      <c r="U285" s="124" t="str">
        <f ca="1">Sprache!$A$65</f>
        <v>T-75 Поворотный подъемник</v>
      </c>
      <c r="V285" s="194">
        <v>14</v>
      </c>
      <c r="W285" s="193">
        <v>14</v>
      </c>
      <c r="X285" s="187" t="str">
        <f ca="1">Sprache!$A$141</f>
        <v>Alu</v>
      </c>
      <c r="Y285" s="187" t="str">
        <f ca="1">Sprache!$A$136</f>
        <v>nein</v>
      </c>
      <c r="Z285" s="187" t="str">
        <f ca="1">Sprache!$A$79</f>
        <v>Створка</v>
      </c>
      <c r="AA285" s="187">
        <v>550</v>
      </c>
      <c r="AB285" s="124">
        <v>599</v>
      </c>
      <c r="AC285" s="187"/>
      <c r="AD285" s="195">
        <v>5.6</v>
      </c>
      <c r="AE285" s="196">
        <v>7.6</v>
      </c>
      <c r="AF285" s="263" t="str">
        <f>MID(Tabelle2[[#This Row],[bnr full]],1,4)</f>
        <v>F151</v>
      </c>
      <c r="AG285" s="264" t="str">
        <f>MID(Tabelle2[[#This Row],[bnr full]],5,3)</f>
        <v>147</v>
      </c>
      <c r="AH285" s="265" t="str">
        <f>MID(Tabelle2[[#This Row],[bnr full]],8,3)</f>
        <v>703</v>
      </c>
      <c r="AI285" s="264" t="str">
        <f>MID(Tabelle2[[#This Row],[bnr full]],11,3)</f>
        <v>201</v>
      </c>
      <c r="AJ285" s="252" t="str">
        <f>MID(Tabelle2[[#This Row],[bnr full]],11,3)</f>
        <v>201</v>
      </c>
      <c r="AK285" s="197" t="s">
        <v>795</v>
      </c>
      <c r="AL285" s="124" t="str">
        <f ca="1">Sprache!$A$111</f>
        <v>Комплект (Л + П)</v>
      </c>
      <c r="AM285" s="187" t="s">
        <v>25</v>
      </c>
      <c r="AN285" s="187" t="str">
        <f ca="1">Sprache!$A$125</f>
        <v>Пружина, стандарт</v>
      </c>
      <c r="AO285" s="187" t="s">
        <v>25</v>
      </c>
      <c r="AP285" s="187" t="s">
        <v>25</v>
      </c>
      <c r="AQ285" s="187">
        <f>Limits!$K$9</f>
        <v>200</v>
      </c>
      <c r="AR285" s="124">
        <v>1200</v>
      </c>
      <c r="AS285" s="187"/>
      <c r="AT285" s="124"/>
      <c r="AU285"/>
      <c r="AV285"/>
      <c r="AY285"/>
      <c r="AZ285"/>
      <c r="BA285"/>
      <c r="BB285"/>
      <c r="BC285"/>
    </row>
    <row r="286" spans="1:55" hidden="1" x14ac:dyDescent="0.25">
      <c r="A286" s="12" t="str">
        <f ca="1">IF(F286+G286+H286+I286+J286+D286+E286=3,IF(Tabelle2[[#This Row],[Kappe Weiß]]=Limits!$R$29,1,""),"")</f>
        <v/>
      </c>
      <c r="B286" s="12" t="str">
        <f ca="1">IF(G286+H286+I286+J286+E286+F286=2,IF(Tabelle2[[#This Row],[Kappe Weiß]]=Limits!$R$29,1,""),"")</f>
        <v/>
      </c>
      <c r="C286" s="291">
        <v>0</v>
      </c>
      <c r="D286" s="171">
        <f>IF(Limits!$P$9=TRUE,1,0)</f>
        <v>0</v>
      </c>
      <c r="E286" s="172">
        <f>IF(Daten!$P286+Daten!$Q286+Daten!$S286=3,1,0)</f>
        <v>0</v>
      </c>
      <c r="F286" s="173">
        <f ca="1">IF(AND(Limits!$Q$21=TRUE,Daten!O286=1)=TRUE,1,0)</f>
        <v>0</v>
      </c>
      <c r="G286" s="174">
        <f>IF(AND(Limits!$Q$25=TRUE,Daten!N286=1)=TRUE,1,0)</f>
        <v>0</v>
      </c>
      <c r="H286" s="174">
        <f>IF(AND(Limits!$Q$24=TRUE,Daten!M286=1)=TRUE,1,0)</f>
        <v>0</v>
      </c>
      <c r="I286" s="174">
        <f>IF(AND(Limits!$Q$23=TRUE,Daten!L286=1)=TRUE,1,0)</f>
        <v>0</v>
      </c>
      <c r="J286" s="174">
        <f>IF(AND(Limits!$Q$22=TRUE,Daten!K286=1)=TRUE,1,0)</f>
        <v>0</v>
      </c>
      <c r="K286" s="188">
        <f>IF(Daten!$V286=13,1,0)</f>
        <v>0</v>
      </c>
      <c r="L286" s="189">
        <f>IF(Daten!$V286&lt;&gt;Daten!$W286,1,IF(Daten!$V286=14,1,0))</f>
        <v>0</v>
      </c>
      <c r="M286" s="189">
        <f>IF(Daten!$V286&lt;&gt;Daten!$W286,1,IF(Daten!$V286=16,1,0))</f>
        <v>1</v>
      </c>
      <c r="N286" s="189">
        <f>IF(Daten!$W286=17,1,0)</f>
        <v>0</v>
      </c>
      <c r="O286" s="190">
        <f ca="1">IF(Daten!$X286=Sprache!$A$70,1,0)</f>
        <v>0</v>
      </c>
      <c r="P286" s="191">
        <f>IF(AND(Daten!$AQ286&lt;=KINVARO!$AW$3,Daten!$AR286&gt;=KINVARO!$AW$3)=TRUE,1,0)</f>
        <v>1</v>
      </c>
      <c r="Q286" s="192">
        <f>IF(AND(Daten!$AA286&lt;=KINVARO!$AW$4,Daten!$AB286&gt;=KINVARO!$AW$4)=TRUE,1,0)</f>
        <v>0</v>
      </c>
      <c r="R286" s="192"/>
      <c r="S286" s="192">
        <f>IF(AND(Daten!$AD286&lt;=Limits!$I$70,Daten!$AE286&gt;=Limits!$I$70)=TRUE,1,0)</f>
        <v>0</v>
      </c>
      <c r="T286" s="193">
        <f ca="1">IF(Daten!$Y286=Sprache!$A$135,1,0)</f>
        <v>0</v>
      </c>
      <c r="U286" s="124" t="str">
        <f ca="1">Sprache!$A$65</f>
        <v>T-75 Поворотный подъемник</v>
      </c>
      <c r="V286" s="194">
        <v>16</v>
      </c>
      <c r="W286" s="193">
        <v>16</v>
      </c>
      <c r="X286" s="187" t="str">
        <f ca="1">Sprache!$A$141</f>
        <v>Alu</v>
      </c>
      <c r="Y286" s="187" t="str">
        <f ca="1">Sprache!$A$136</f>
        <v>nein</v>
      </c>
      <c r="Z286" s="187" t="str">
        <f ca="1">Sprache!$A$79</f>
        <v>Створка</v>
      </c>
      <c r="AA286" s="187">
        <v>550</v>
      </c>
      <c r="AB286" s="124">
        <v>599</v>
      </c>
      <c r="AC286" s="187"/>
      <c r="AD286" s="195">
        <v>5.6</v>
      </c>
      <c r="AE286" s="196">
        <v>7.6</v>
      </c>
      <c r="AF286" s="263" t="str">
        <f>MID(Tabelle2[[#This Row],[bnr full]],1,4)</f>
        <v>F151</v>
      </c>
      <c r="AG286" s="264" t="str">
        <f>MID(Tabelle2[[#This Row],[bnr full]],5,3)</f>
        <v>147</v>
      </c>
      <c r="AH286" s="265" t="str">
        <f>MID(Tabelle2[[#This Row],[bnr full]],8,3)</f>
        <v>704</v>
      </c>
      <c r="AI286" s="264" t="str">
        <f>MID(Tabelle2[[#This Row],[bnr full]],11,3)</f>
        <v>201</v>
      </c>
      <c r="AJ286" s="252" t="str">
        <f>MID(Tabelle2[[#This Row],[bnr full]],11,3)</f>
        <v>201</v>
      </c>
      <c r="AK286" s="197" t="s">
        <v>796</v>
      </c>
      <c r="AL286" s="124" t="str">
        <f ca="1">Sprache!$A$111</f>
        <v>Комплект (Л + П)</v>
      </c>
      <c r="AM286" s="187" t="s">
        <v>25</v>
      </c>
      <c r="AN286" s="187" t="str">
        <f ca="1">Sprache!$A$125</f>
        <v>Пружина, стандарт</v>
      </c>
      <c r="AO286" s="187" t="s">
        <v>25</v>
      </c>
      <c r="AP286" s="187" t="s">
        <v>25</v>
      </c>
      <c r="AQ286" s="187">
        <f>Limits!$K$9</f>
        <v>200</v>
      </c>
      <c r="AR286" s="124">
        <v>1200</v>
      </c>
      <c r="AS286" s="187"/>
      <c r="AT286" s="124"/>
      <c r="AU286"/>
      <c r="AV286"/>
      <c r="AY286"/>
      <c r="AZ286"/>
      <c r="BA286"/>
      <c r="BB286"/>
      <c r="BC286"/>
    </row>
    <row r="287" spans="1:55" s="5" customFormat="1" hidden="1" x14ac:dyDescent="0.25">
      <c r="A287" s="12" t="str">
        <f ca="1">IF(F287+G287+H287+I287+J287+D287+E287=3,IF(Tabelle2[[#This Row],[Kappe Weiß]]=Limits!$R$29,1,""),"")</f>
        <v/>
      </c>
      <c r="B287" s="12" t="str">
        <f ca="1">IF(G287+H287+I287+J287+E287+F287=2,IF(Tabelle2[[#This Row],[Kappe Weiß]]=Limits!$R$29,1,""),"")</f>
        <v/>
      </c>
      <c r="C287" s="291">
        <v>0</v>
      </c>
      <c r="D287" s="171">
        <f>IF(Limits!$P$9=TRUE,1,0)</f>
        <v>0</v>
      </c>
      <c r="E287" s="172">
        <f>IF(Daten!$P287+Daten!$Q287+Daten!$S287=3,1,0)</f>
        <v>0</v>
      </c>
      <c r="F287" s="173">
        <f ca="1">IF(AND(Limits!$Q$21=TRUE,Daten!O287=1)=TRUE,1,0)</f>
        <v>0</v>
      </c>
      <c r="G287" s="174">
        <f>IF(AND(Limits!$Q$25=TRUE,Daten!N287=1)=TRUE,1,0)</f>
        <v>0</v>
      </c>
      <c r="H287" s="174">
        <f>IF(AND(Limits!$Q$24=TRUE,Daten!M287=1)=TRUE,1,0)</f>
        <v>0</v>
      </c>
      <c r="I287" s="174">
        <f>IF(AND(Limits!$Q$23=TRUE,Daten!L287=1)=TRUE,1,0)</f>
        <v>0</v>
      </c>
      <c r="J287" s="174">
        <f>IF(AND(Limits!$Q$22=TRUE,Daten!K287=1)=TRUE,1,0)</f>
        <v>0</v>
      </c>
      <c r="K287" s="188">
        <f>IF(Daten!$V287=13,1,0)</f>
        <v>0</v>
      </c>
      <c r="L287" s="189">
        <f>IF(Daten!$V287&lt;&gt;Daten!$W287,1,IF(Daten!$V287=14,1,0))</f>
        <v>0</v>
      </c>
      <c r="M287" s="189">
        <f>IF(Daten!$V287&lt;&gt;Daten!$W287,1,IF(Daten!$V287=16,1,0))</f>
        <v>0</v>
      </c>
      <c r="N287" s="189">
        <f>IF(Daten!$W287=17,1,0)</f>
        <v>1</v>
      </c>
      <c r="O287" s="190">
        <f ca="1">IF(Daten!$X287=Sprache!$A$70,1,0)</f>
        <v>0</v>
      </c>
      <c r="P287" s="191">
        <f>IF(AND(Daten!$AQ287&lt;=KINVARO!$AW$3,Daten!$AR287&gt;=KINVARO!$AW$3)=TRUE,1,0)</f>
        <v>1</v>
      </c>
      <c r="Q287" s="192">
        <f>IF(AND(Daten!$AA287&lt;=KINVARO!$AW$4,Daten!$AB287&gt;=KINVARO!$AW$4)=TRUE,1,0)</f>
        <v>0</v>
      </c>
      <c r="R287" s="192"/>
      <c r="S287" s="192">
        <f>IF(AND(Daten!$AD287&lt;=Limits!$I$70,Daten!$AE287&gt;=Limits!$I$70)=TRUE,1,0)</f>
        <v>0</v>
      </c>
      <c r="T287" s="193">
        <f ca="1">IF(Daten!$Y287=Sprache!$A$135,1,0)</f>
        <v>0</v>
      </c>
      <c r="U287" s="124" t="str">
        <f ca="1">Sprache!$A$65</f>
        <v>T-75 Поворотный подъемник</v>
      </c>
      <c r="V287" s="194">
        <v>17</v>
      </c>
      <c r="W287" s="193">
        <v>17</v>
      </c>
      <c r="X287" s="187" t="str">
        <f ca="1">Sprache!$A$141</f>
        <v>Alu</v>
      </c>
      <c r="Y287" s="187" t="str">
        <f ca="1">Sprache!$A$136</f>
        <v>nein</v>
      </c>
      <c r="Z287" s="187" t="str">
        <f ca="1">Sprache!$A$79</f>
        <v>Створка</v>
      </c>
      <c r="AA287" s="187">
        <v>550</v>
      </c>
      <c r="AB287" s="124">
        <v>599</v>
      </c>
      <c r="AC287" s="187"/>
      <c r="AD287" s="195">
        <v>5.6</v>
      </c>
      <c r="AE287" s="196">
        <v>7.6</v>
      </c>
      <c r="AF287" s="263" t="str">
        <f>MID(Tabelle2[[#This Row],[bnr full]],1,4)</f>
        <v>F151</v>
      </c>
      <c r="AG287" s="264" t="str">
        <f>MID(Tabelle2[[#This Row],[bnr full]],5,3)</f>
        <v>147</v>
      </c>
      <c r="AH287" s="265" t="str">
        <f>MID(Tabelle2[[#This Row],[bnr full]],8,3)</f>
        <v>705</v>
      </c>
      <c r="AI287" s="264" t="str">
        <f>MID(Tabelle2[[#This Row],[bnr full]],11,3)</f>
        <v>201</v>
      </c>
      <c r="AJ287" s="252" t="str">
        <f>MID(Tabelle2[[#This Row],[bnr full]],11,3)</f>
        <v>201</v>
      </c>
      <c r="AK287" s="197" t="s">
        <v>797</v>
      </c>
      <c r="AL287" s="124" t="str">
        <f ca="1">Sprache!$A$111</f>
        <v>Комплект (Л + П)</v>
      </c>
      <c r="AM287" s="187" t="s">
        <v>25</v>
      </c>
      <c r="AN287" s="187" t="str">
        <f ca="1">Sprache!$A$125</f>
        <v>Пружина, стандарт</v>
      </c>
      <c r="AO287" s="187" t="s">
        <v>25</v>
      </c>
      <c r="AP287" s="187" t="s">
        <v>25</v>
      </c>
      <c r="AQ287" s="187">
        <f>Limits!$K$9</f>
        <v>200</v>
      </c>
      <c r="AR287" s="124">
        <v>1200</v>
      </c>
      <c r="AS287" s="187"/>
      <c r="AT287" s="124"/>
    </row>
    <row r="288" spans="1:55" hidden="1" x14ac:dyDescent="0.25">
      <c r="A288" s="12" t="str">
        <f ca="1">IF(F288+G288+H288+I288+J288+D288+E288=3,IF(Tabelle2[[#This Row],[Kappe Weiß]]=Limits!$R$29,1,""),"")</f>
        <v/>
      </c>
      <c r="B288" s="12" t="str">
        <f ca="1">IF(G288+H288+I288+J288+E288+F288=2,IF(Tabelle2[[#This Row],[Kappe Weiß]]=Limits!$R$29,1,""),"")</f>
        <v/>
      </c>
      <c r="C288" s="292">
        <v>0</v>
      </c>
      <c r="D288" s="171">
        <f>IF(Limits!$P$9=TRUE,1,0)</f>
        <v>0</v>
      </c>
      <c r="E288" s="172">
        <f>IF(Daten!$P288+Daten!$Q288+Daten!$S288=3,1,0)</f>
        <v>0</v>
      </c>
      <c r="F288" s="173">
        <f ca="1">IF(AND(Limits!$Q$21=TRUE,Daten!O288=1)=TRUE,1,0)</f>
        <v>1</v>
      </c>
      <c r="G288" s="174">
        <f ca="1">IF(AND(Limits!$Q$25=TRUE,Daten!N288=1)=TRUE,1,0)</f>
        <v>0</v>
      </c>
      <c r="H288" s="174">
        <f ca="1">IF(AND(Limits!$Q$24=TRUE,Daten!M288=1)=TRUE,1,0)</f>
        <v>0</v>
      </c>
      <c r="I288" s="174">
        <f ca="1">IF(AND(Limits!$Q$23=TRUE,Daten!L288=1)=TRUE,1,0)</f>
        <v>0</v>
      </c>
      <c r="J288" s="174">
        <f ca="1">IF(AND(Limits!$Q$22=TRUE,Daten!K288=1)=TRUE,1,0)</f>
        <v>0</v>
      </c>
      <c r="K288" s="188">
        <f ca="1">IF(Daten!$V288=13,1,0)</f>
        <v>0</v>
      </c>
      <c r="L288" s="189">
        <f ca="1">IF(Daten!$V288&lt;&gt;Daten!$W288,1,IF(Daten!$V288=14,1,0))</f>
        <v>0</v>
      </c>
      <c r="M288" s="189">
        <f ca="1">IF(Daten!$V288&lt;&gt;Daten!$W288,1,IF(Daten!$V288=16,1,0))</f>
        <v>0</v>
      </c>
      <c r="N288" s="189">
        <f ca="1">IF(Daten!$W288=17,1,0)</f>
        <v>0</v>
      </c>
      <c r="O288" s="190">
        <f ca="1">IF(Daten!$X288=Sprache!$A$70,1,0)</f>
        <v>1</v>
      </c>
      <c r="P288" s="198">
        <f>IF(AND(Daten!$AQ288&lt;=KINVARO!$AW$3,Daten!$AR288&gt;=KINVARO!$AW$3)=TRUE,1,0)</f>
        <v>1</v>
      </c>
      <c r="Q288" s="199">
        <f>IF(AND(Daten!$AA288&lt;=KINVARO!$AW$4,Daten!$AB288&gt;=KINVARO!$AW$4)=TRUE,1,0)</f>
        <v>0</v>
      </c>
      <c r="R288" s="199"/>
      <c r="S288" s="199">
        <f>IF(AND(Daten!$AD288&lt;=Limits!$I$70,Daten!$AE288&gt;=Limits!$I$70)=TRUE,1,0)</f>
        <v>0</v>
      </c>
      <c r="T288" s="200">
        <f ca="1">IF(Daten!$Y288=Sprache!$A$135,1,0)</f>
        <v>0</v>
      </c>
      <c r="U288" s="201" t="str">
        <f ca="1">Sprache!$A$65</f>
        <v>T-75 Поворотный подъемник</v>
      </c>
      <c r="V288" s="202" t="str">
        <f ca="1">Sprache!$A$74</f>
        <v>var</v>
      </c>
      <c r="W288" s="200" t="str">
        <f ca="1">Sprache!$A$74</f>
        <v>var</v>
      </c>
      <c r="X288" s="203" t="str">
        <f ca="1">Sprache!$A$70</f>
        <v>соединение с древесиной</v>
      </c>
      <c r="Y288" s="187" t="str">
        <f ca="1">Sprache!$A$136</f>
        <v>nein</v>
      </c>
      <c r="Z288" s="203" t="str">
        <f ca="1">Sprache!$A$79</f>
        <v>Створка</v>
      </c>
      <c r="AA288" s="203">
        <v>600</v>
      </c>
      <c r="AB288" s="201">
        <v>600</v>
      </c>
      <c r="AC288" s="203"/>
      <c r="AD288" s="204">
        <v>5.2</v>
      </c>
      <c r="AE288" s="205">
        <v>7</v>
      </c>
      <c r="AF288" s="266" t="str">
        <f>MID(Tabelle2[[#This Row],[bnr full]],1,4)</f>
        <v>F151</v>
      </c>
      <c r="AG288" s="267" t="str">
        <f>MID(Tabelle2[[#This Row],[bnr full]],5,3)</f>
        <v>147</v>
      </c>
      <c r="AH288" s="268" t="str">
        <f>MID(Tabelle2[[#This Row],[bnr full]],8,3)</f>
        <v>699</v>
      </c>
      <c r="AI288" s="267" t="str">
        <f>MID(Tabelle2[[#This Row],[bnr full]],11,3)</f>
        <v>201</v>
      </c>
      <c r="AJ288" s="253" t="str">
        <f>MID(Tabelle2[[#This Row],[bnr full]],11,3)</f>
        <v>201</v>
      </c>
      <c r="AK288" s="206" t="s">
        <v>793</v>
      </c>
      <c r="AL288" s="201" t="str">
        <f ca="1">Sprache!$A$111</f>
        <v>Комплект (Л + П)</v>
      </c>
      <c r="AM288" s="203" t="s">
        <v>25</v>
      </c>
      <c r="AN288" s="203" t="str">
        <f ca="1">Sprache!$A$125</f>
        <v>Пружина, стандарт</v>
      </c>
      <c r="AO288" s="187" t="s">
        <v>25</v>
      </c>
      <c r="AP288" s="187" t="s">
        <v>25</v>
      </c>
      <c r="AQ288" s="203">
        <f>Limits!$K$9</f>
        <v>200</v>
      </c>
      <c r="AR288" s="201">
        <v>1200</v>
      </c>
      <c r="AS288" s="187"/>
      <c r="AT288" s="124"/>
      <c r="AU288"/>
      <c r="AV288"/>
      <c r="AY288"/>
      <c r="AZ288"/>
      <c r="BA288"/>
      <c r="BB288"/>
      <c r="BC288"/>
    </row>
    <row r="289" spans="1:55" hidden="1" x14ac:dyDescent="0.25">
      <c r="A289" s="12" t="str">
        <f ca="1">IF(F289+G289+H289+I289+J289+D289+E289=3,IF(Tabelle2[[#This Row],[Kappe Weiß]]=Limits!$R$29,1,""),"")</f>
        <v/>
      </c>
      <c r="B289" s="12" t="str">
        <f ca="1">IF(G289+H289+I289+J289+E289+F289=2,IF(Tabelle2[[#This Row],[Kappe Weiß]]=Limits!$R$29,1,""),"")</f>
        <v/>
      </c>
      <c r="C289" s="291">
        <v>0</v>
      </c>
      <c r="D289" s="171">
        <f>IF(Limits!$P$9=TRUE,1,0)</f>
        <v>0</v>
      </c>
      <c r="E289" s="172">
        <f>IF(Daten!$P289+Daten!$Q289+Daten!$S289=3,1,0)</f>
        <v>0</v>
      </c>
      <c r="F289" s="173">
        <f ca="1">IF(AND(Limits!$Q$21=TRUE,Daten!O289=1)=TRUE,1,0)</f>
        <v>0</v>
      </c>
      <c r="G289" s="174">
        <f>IF(AND(Limits!$Q$25=TRUE,Daten!N289=1)=TRUE,1,0)</f>
        <v>0</v>
      </c>
      <c r="H289" s="174">
        <f>IF(AND(Limits!$Q$24=TRUE,Daten!M289=1)=TRUE,1,0)</f>
        <v>0</v>
      </c>
      <c r="I289" s="174">
        <f>IF(AND(Limits!$Q$23=TRUE,Daten!L289=1)=TRUE,1,0)</f>
        <v>0</v>
      </c>
      <c r="J289" s="174">
        <f>IF(AND(Limits!$Q$22=TRUE,Daten!K289=1)=TRUE,1,0)</f>
        <v>0</v>
      </c>
      <c r="K289" s="188">
        <f>IF(Daten!$V289=13,1,0)</f>
        <v>1</v>
      </c>
      <c r="L289" s="189">
        <f>IF(Daten!$V289&lt;&gt;Daten!$W289,1,IF(Daten!$V289=14,1,0))</f>
        <v>0</v>
      </c>
      <c r="M289" s="189">
        <f>IF(Daten!$V289&lt;&gt;Daten!$W289,1,IF(Daten!$V289=16,1,0))</f>
        <v>0</v>
      </c>
      <c r="N289" s="189">
        <f>IF(Daten!$W289=17,1,0)</f>
        <v>0</v>
      </c>
      <c r="O289" s="190">
        <f ca="1">IF(Daten!$X289=Sprache!$A$70,1,0)</f>
        <v>0</v>
      </c>
      <c r="P289" s="191">
        <f>IF(AND(Daten!$AQ289&lt;=KINVARO!$AW$3,Daten!$AR289&gt;=KINVARO!$AW$3)=TRUE,1,0)</f>
        <v>1</v>
      </c>
      <c r="Q289" s="192">
        <f>IF(AND(Daten!$AA289&lt;=KINVARO!$AW$4,Daten!$AB289&gt;=KINVARO!$AW$4)=TRUE,1,0)</f>
        <v>0</v>
      </c>
      <c r="R289" s="192"/>
      <c r="S289" s="192">
        <f>IF(AND(Daten!$AD289&lt;=Limits!$I$70,Daten!$AE289&gt;=Limits!$I$70)=TRUE,1,0)</f>
        <v>0</v>
      </c>
      <c r="T289" s="193">
        <f ca="1">IF(Daten!$Y289=Sprache!$A$135,1,0)</f>
        <v>0</v>
      </c>
      <c r="U289" s="124" t="str">
        <f ca="1">Sprache!$A$65</f>
        <v>T-75 Поворотный подъемник</v>
      </c>
      <c r="V289" s="194">
        <v>13</v>
      </c>
      <c r="W289" s="193">
        <v>13</v>
      </c>
      <c r="X289" s="187" t="str">
        <f ca="1">Sprache!$A$141</f>
        <v>Alu</v>
      </c>
      <c r="Y289" s="187" t="str">
        <f ca="1">Sprache!$A$136</f>
        <v>nein</v>
      </c>
      <c r="Z289" s="187" t="str">
        <f ca="1">Sprache!$A$79</f>
        <v>Створка</v>
      </c>
      <c r="AA289" s="187">
        <v>600</v>
      </c>
      <c r="AB289" s="124">
        <v>600</v>
      </c>
      <c r="AC289" s="187"/>
      <c r="AD289" s="195">
        <v>5.2</v>
      </c>
      <c r="AE289" s="196">
        <v>7</v>
      </c>
      <c r="AF289" s="263" t="str">
        <f>MID(Tabelle2[[#This Row],[bnr full]],1,4)</f>
        <v>F151</v>
      </c>
      <c r="AG289" s="264" t="str">
        <f>MID(Tabelle2[[#This Row],[bnr full]],5,3)</f>
        <v>147</v>
      </c>
      <c r="AH289" s="265" t="str">
        <f>MID(Tabelle2[[#This Row],[bnr full]],8,3)</f>
        <v>702</v>
      </c>
      <c r="AI289" s="264" t="str">
        <f>MID(Tabelle2[[#This Row],[bnr full]],11,3)</f>
        <v>201</v>
      </c>
      <c r="AJ289" s="252" t="str">
        <f>MID(Tabelle2[[#This Row],[bnr full]],11,3)</f>
        <v>201</v>
      </c>
      <c r="AK289" s="197" t="s">
        <v>794</v>
      </c>
      <c r="AL289" s="124" t="str">
        <f ca="1">Sprache!$A$111</f>
        <v>Комплект (Л + П)</v>
      </c>
      <c r="AM289" s="187" t="s">
        <v>25</v>
      </c>
      <c r="AN289" s="187" t="str">
        <f ca="1">Sprache!$A$125</f>
        <v>Пружина, стандарт</v>
      </c>
      <c r="AO289" s="187" t="s">
        <v>25</v>
      </c>
      <c r="AP289" s="187" t="s">
        <v>25</v>
      </c>
      <c r="AQ289" s="187">
        <f>Limits!$K$9</f>
        <v>200</v>
      </c>
      <c r="AR289" s="124">
        <v>1200</v>
      </c>
      <c r="AS289" s="187"/>
      <c r="AT289" s="124"/>
      <c r="AU289"/>
      <c r="AV289"/>
      <c r="AY289"/>
      <c r="AZ289"/>
      <c r="BA289"/>
      <c r="BB289"/>
      <c r="BC289"/>
    </row>
    <row r="290" spans="1:55" hidden="1" x14ac:dyDescent="0.25">
      <c r="A290" s="12" t="str">
        <f ca="1">IF(F290+G290+H290+I290+J290+D290+E290=3,IF(Tabelle2[[#This Row],[Kappe Weiß]]=Limits!$R$29,1,""),"")</f>
        <v/>
      </c>
      <c r="B290" s="12" t="str">
        <f ca="1">IF(G290+H290+I290+J290+E290+F290=2,IF(Tabelle2[[#This Row],[Kappe Weiß]]=Limits!$R$29,1,""),"")</f>
        <v/>
      </c>
      <c r="C290" s="291">
        <v>0</v>
      </c>
      <c r="D290" s="171">
        <f>IF(Limits!$P$9=TRUE,1,0)</f>
        <v>0</v>
      </c>
      <c r="E290" s="172">
        <f>IF(Daten!$P290+Daten!$Q290+Daten!$S290=3,1,0)</f>
        <v>0</v>
      </c>
      <c r="F290" s="173">
        <f ca="1">IF(AND(Limits!$Q$21=TRUE,Daten!O290=1)=TRUE,1,0)</f>
        <v>0</v>
      </c>
      <c r="G290" s="174">
        <f>IF(AND(Limits!$Q$25=TRUE,Daten!N290=1)=TRUE,1,0)</f>
        <v>0</v>
      </c>
      <c r="H290" s="174">
        <f>IF(AND(Limits!$Q$24=TRUE,Daten!M290=1)=TRUE,1,0)</f>
        <v>0</v>
      </c>
      <c r="I290" s="174">
        <f>IF(AND(Limits!$Q$23=TRUE,Daten!L290=1)=TRUE,1,0)</f>
        <v>0</v>
      </c>
      <c r="J290" s="174">
        <f>IF(AND(Limits!$Q$22=TRUE,Daten!K290=1)=TRUE,1,0)</f>
        <v>0</v>
      </c>
      <c r="K290" s="188">
        <f>IF(Daten!$V290=13,1,0)</f>
        <v>0</v>
      </c>
      <c r="L290" s="189">
        <f>IF(Daten!$V290&lt;&gt;Daten!$W290,1,IF(Daten!$V290=14,1,0))</f>
        <v>1</v>
      </c>
      <c r="M290" s="189">
        <f>IF(Daten!$V290&lt;&gt;Daten!$W290,1,IF(Daten!$V290=16,1,0))</f>
        <v>0</v>
      </c>
      <c r="N290" s="189">
        <f>IF(Daten!$W290=17,1,0)</f>
        <v>0</v>
      </c>
      <c r="O290" s="190">
        <f ca="1">IF(Daten!$X290=Sprache!$A$70,1,0)</f>
        <v>0</v>
      </c>
      <c r="P290" s="191">
        <f>IF(AND(Daten!$AQ290&lt;=KINVARO!$AW$3,Daten!$AR290&gt;=KINVARO!$AW$3)=TRUE,1,0)</f>
        <v>1</v>
      </c>
      <c r="Q290" s="192">
        <f>IF(AND(Daten!$AA290&lt;=KINVARO!$AW$4,Daten!$AB290&gt;=KINVARO!$AW$4)=TRUE,1,0)</f>
        <v>0</v>
      </c>
      <c r="R290" s="192"/>
      <c r="S290" s="192">
        <f>IF(AND(Daten!$AD290&lt;=Limits!$I$70,Daten!$AE290&gt;=Limits!$I$70)=TRUE,1,0)</f>
        <v>0</v>
      </c>
      <c r="T290" s="193">
        <f ca="1">IF(Daten!$Y290=Sprache!$A$135,1,0)</f>
        <v>0</v>
      </c>
      <c r="U290" s="124" t="str">
        <f ca="1">Sprache!$A$65</f>
        <v>T-75 Поворотный подъемник</v>
      </c>
      <c r="V290" s="194">
        <v>14</v>
      </c>
      <c r="W290" s="193">
        <v>14</v>
      </c>
      <c r="X290" s="187" t="str">
        <f ca="1">Sprache!$A$141</f>
        <v>Alu</v>
      </c>
      <c r="Y290" s="187" t="str">
        <f ca="1">Sprache!$A$136</f>
        <v>nein</v>
      </c>
      <c r="Z290" s="187" t="str">
        <f ca="1">Sprache!$A$79</f>
        <v>Створка</v>
      </c>
      <c r="AA290" s="187">
        <v>600</v>
      </c>
      <c r="AB290" s="124">
        <v>600</v>
      </c>
      <c r="AC290" s="187"/>
      <c r="AD290" s="195">
        <v>5.2</v>
      </c>
      <c r="AE290" s="196">
        <v>7</v>
      </c>
      <c r="AF290" s="263" t="str">
        <f>MID(Tabelle2[[#This Row],[bnr full]],1,4)</f>
        <v>F151</v>
      </c>
      <c r="AG290" s="264" t="str">
        <f>MID(Tabelle2[[#This Row],[bnr full]],5,3)</f>
        <v>147</v>
      </c>
      <c r="AH290" s="265" t="str">
        <f>MID(Tabelle2[[#This Row],[bnr full]],8,3)</f>
        <v>703</v>
      </c>
      <c r="AI290" s="264" t="str">
        <f>MID(Tabelle2[[#This Row],[bnr full]],11,3)</f>
        <v>201</v>
      </c>
      <c r="AJ290" s="252" t="str">
        <f>MID(Tabelle2[[#This Row],[bnr full]],11,3)</f>
        <v>201</v>
      </c>
      <c r="AK290" s="197" t="s">
        <v>795</v>
      </c>
      <c r="AL290" s="124" t="str">
        <f ca="1">Sprache!$A$111</f>
        <v>Комплект (Л + П)</v>
      </c>
      <c r="AM290" s="187" t="s">
        <v>25</v>
      </c>
      <c r="AN290" s="187" t="str">
        <f ca="1">Sprache!$A$125</f>
        <v>Пружина, стандарт</v>
      </c>
      <c r="AO290" s="187" t="s">
        <v>25</v>
      </c>
      <c r="AP290" s="187" t="s">
        <v>25</v>
      </c>
      <c r="AQ290" s="187">
        <f>Limits!$K$9</f>
        <v>200</v>
      </c>
      <c r="AR290" s="124">
        <v>1200</v>
      </c>
      <c r="AS290" s="187"/>
      <c r="AT290" s="124"/>
      <c r="AU290"/>
      <c r="AV290"/>
      <c r="AY290"/>
      <c r="AZ290"/>
      <c r="BA290"/>
      <c r="BB290"/>
      <c r="BC290"/>
    </row>
    <row r="291" spans="1:55" hidden="1" x14ac:dyDescent="0.25">
      <c r="A291" s="12" t="str">
        <f ca="1">IF(F291+G291+H291+I291+J291+D291+E291=3,IF(Tabelle2[[#This Row],[Kappe Weiß]]=Limits!$R$29,1,""),"")</f>
        <v/>
      </c>
      <c r="B291" s="12" t="str">
        <f ca="1">IF(G291+H291+I291+J291+E291+F291=2,IF(Tabelle2[[#This Row],[Kappe Weiß]]=Limits!$R$29,1,""),"")</f>
        <v/>
      </c>
      <c r="C291" s="291">
        <v>0</v>
      </c>
      <c r="D291" s="171">
        <f>IF(Limits!$P$9=TRUE,1,0)</f>
        <v>0</v>
      </c>
      <c r="E291" s="172">
        <f>IF(Daten!$P291+Daten!$Q291+Daten!$S291=3,1,0)</f>
        <v>0</v>
      </c>
      <c r="F291" s="173">
        <f ca="1">IF(AND(Limits!$Q$21=TRUE,Daten!O291=1)=TRUE,1,0)</f>
        <v>0</v>
      </c>
      <c r="G291" s="174">
        <f>IF(AND(Limits!$Q$25=TRUE,Daten!N291=1)=TRUE,1,0)</f>
        <v>0</v>
      </c>
      <c r="H291" s="174">
        <f>IF(AND(Limits!$Q$24=TRUE,Daten!M291=1)=TRUE,1,0)</f>
        <v>0</v>
      </c>
      <c r="I291" s="174">
        <f>IF(AND(Limits!$Q$23=TRUE,Daten!L291=1)=TRUE,1,0)</f>
        <v>0</v>
      </c>
      <c r="J291" s="174">
        <f>IF(AND(Limits!$Q$22=TRUE,Daten!K291=1)=TRUE,1,0)</f>
        <v>0</v>
      </c>
      <c r="K291" s="188">
        <f>IF(Daten!$V291=13,1,0)</f>
        <v>0</v>
      </c>
      <c r="L291" s="189">
        <f>IF(Daten!$V291&lt;&gt;Daten!$W291,1,IF(Daten!$V291=14,1,0))</f>
        <v>0</v>
      </c>
      <c r="M291" s="189">
        <f>IF(Daten!$V291&lt;&gt;Daten!$W291,1,IF(Daten!$V291=16,1,0))</f>
        <v>1</v>
      </c>
      <c r="N291" s="189">
        <f>IF(Daten!$W291=17,1,0)</f>
        <v>0</v>
      </c>
      <c r="O291" s="190">
        <f ca="1">IF(Daten!$X291=Sprache!$A$70,1,0)</f>
        <v>0</v>
      </c>
      <c r="P291" s="191">
        <f>IF(AND(Daten!$AQ291&lt;=KINVARO!$AW$3,Daten!$AR291&gt;=KINVARO!$AW$3)=TRUE,1,0)</f>
        <v>1</v>
      </c>
      <c r="Q291" s="192">
        <f>IF(AND(Daten!$AA291&lt;=KINVARO!$AW$4,Daten!$AB291&gt;=KINVARO!$AW$4)=TRUE,1,0)</f>
        <v>0</v>
      </c>
      <c r="R291" s="192"/>
      <c r="S291" s="192">
        <f>IF(AND(Daten!$AD291&lt;=Limits!$I$70,Daten!$AE291&gt;=Limits!$I$70)=TRUE,1,0)</f>
        <v>0</v>
      </c>
      <c r="T291" s="193">
        <f ca="1">IF(Daten!$Y291=Sprache!$A$135,1,0)</f>
        <v>0</v>
      </c>
      <c r="U291" s="124" t="str">
        <f ca="1">Sprache!$A$65</f>
        <v>T-75 Поворотный подъемник</v>
      </c>
      <c r="V291" s="194">
        <v>16</v>
      </c>
      <c r="W291" s="193">
        <v>16</v>
      </c>
      <c r="X291" s="187" t="str">
        <f ca="1">Sprache!$A$141</f>
        <v>Alu</v>
      </c>
      <c r="Y291" s="187" t="str">
        <f ca="1">Sprache!$A$136</f>
        <v>nein</v>
      </c>
      <c r="Z291" s="187" t="str">
        <f ca="1">Sprache!$A$79</f>
        <v>Створка</v>
      </c>
      <c r="AA291" s="187">
        <v>600</v>
      </c>
      <c r="AB291" s="124">
        <v>600</v>
      </c>
      <c r="AC291" s="187"/>
      <c r="AD291" s="195">
        <v>5.2</v>
      </c>
      <c r="AE291" s="196">
        <v>7</v>
      </c>
      <c r="AF291" s="263" t="str">
        <f>MID(Tabelle2[[#This Row],[bnr full]],1,4)</f>
        <v>F151</v>
      </c>
      <c r="AG291" s="264" t="str">
        <f>MID(Tabelle2[[#This Row],[bnr full]],5,3)</f>
        <v>147</v>
      </c>
      <c r="AH291" s="265" t="str">
        <f>MID(Tabelle2[[#This Row],[bnr full]],8,3)</f>
        <v>704</v>
      </c>
      <c r="AI291" s="264" t="str">
        <f>MID(Tabelle2[[#This Row],[bnr full]],11,3)</f>
        <v>201</v>
      </c>
      <c r="AJ291" s="252" t="str">
        <f>MID(Tabelle2[[#This Row],[bnr full]],11,3)</f>
        <v>201</v>
      </c>
      <c r="AK291" s="197" t="s">
        <v>796</v>
      </c>
      <c r="AL291" s="124" t="str">
        <f ca="1">Sprache!$A$111</f>
        <v>Комплект (Л + П)</v>
      </c>
      <c r="AM291" s="187" t="s">
        <v>25</v>
      </c>
      <c r="AN291" s="187" t="str">
        <f ca="1">Sprache!$A$125</f>
        <v>Пружина, стандарт</v>
      </c>
      <c r="AO291" s="187" t="s">
        <v>25</v>
      </c>
      <c r="AP291" s="187" t="s">
        <v>25</v>
      </c>
      <c r="AQ291" s="187">
        <f>Limits!$K$9</f>
        <v>200</v>
      </c>
      <c r="AR291" s="124">
        <v>1200</v>
      </c>
      <c r="AS291" s="187"/>
      <c r="AT291" s="124"/>
      <c r="AU291"/>
      <c r="AV291"/>
      <c r="AY291"/>
      <c r="AZ291"/>
      <c r="BA291"/>
      <c r="BB291"/>
      <c r="BC291"/>
    </row>
    <row r="292" spans="1:55" hidden="1" x14ac:dyDescent="0.25">
      <c r="A292" s="12" t="str">
        <f ca="1">IF(F292+G292+H292+I292+J292+D292+E292=3,IF(Tabelle2[[#This Row],[Kappe Weiß]]=Limits!$R$29,1,""),"")</f>
        <v/>
      </c>
      <c r="B292" s="12" t="str">
        <f ca="1">IF(G292+H292+I292+J292+E292+F292=2,IF(Tabelle2[[#This Row],[Kappe Weiß]]=Limits!$R$29,1,""),"")</f>
        <v/>
      </c>
      <c r="C292" s="291">
        <v>0</v>
      </c>
      <c r="D292" s="207">
        <f>IF(Limits!$P$9=TRUE,1,0)</f>
        <v>0</v>
      </c>
      <c r="E292" s="172">
        <f>IF(Daten!$P292+Daten!$Q292+Daten!$S292=3,1,0)</f>
        <v>0</v>
      </c>
      <c r="F292" s="173">
        <f ca="1">IF(AND(Limits!$Q$21=TRUE,Daten!O292=1)=TRUE,1,0)</f>
        <v>0</v>
      </c>
      <c r="G292" s="174">
        <f>IF(AND(Limits!$Q$25=TRUE,Daten!N292=1)=TRUE,1,0)</f>
        <v>0</v>
      </c>
      <c r="H292" s="174">
        <f>IF(AND(Limits!$Q$24=TRUE,Daten!M292=1)=TRUE,1,0)</f>
        <v>0</v>
      </c>
      <c r="I292" s="174">
        <f>IF(AND(Limits!$Q$23=TRUE,Daten!L292=1)=TRUE,1,0)</f>
        <v>0</v>
      </c>
      <c r="J292" s="174">
        <f>IF(AND(Limits!$Q$22=TRUE,Daten!K292=1)=TRUE,1,0)</f>
        <v>0</v>
      </c>
      <c r="K292" s="188">
        <f>IF(Daten!$V292=13,1,0)</f>
        <v>0</v>
      </c>
      <c r="L292" s="189">
        <f>IF(Daten!$V292&lt;&gt;Daten!$W292,1,IF(Daten!$V292=14,1,0))</f>
        <v>0</v>
      </c>
      <c r="M292" s="189">
        <f>IF(Daten!$V292&lt;&gt;Daten!$W292,1,IF(Daten!$V292=16,1,0))</f>
        <v>0</v>
      </c>
      <c r="N292" s="189">
        <f>IF(Daten!$W292=17,1,0)</f>
        <v>1</v>
      </c>
      <c r="O292" s="190">
        <f ca="1">IF(Daten!$X292=Sprache!$A$70,1,0)</f>
        <v>0</v>
      </c>
      <c r="P292" s="191">
        <f>IF(AND(Daten!$AQ292&lt;=KINVARO!$AW$3,Daten!$AR292&gt;=KINVARO!$AW$3)=TRUE,1,0)</f>
        <v>1</v>
      </c>
      <c r="Q292" s="192">
        <f>IF(AND(Daten!$AA292&lt;=KINVARO!$AW$4,Daten!$AB292&gt;=KINVARO!$AW$4)=TRUE,1,0)</f>
        <v>0</v>
      </c>
      <c r="R292" s="192"/>
      <c r="S292" s="192">
        <f>IF(AND(Daten!$AD292&lt;=Limits!$I$70,Daten!$AE292&gt;=Limits!$I$70)=TRUE,1,0)</f>
        <v>0</v>
      </c>
      <c r="T292" s="193">
        <f ca="1">IF(Daten!$Y292=Sprache!$A$135,1,0)</f>
        <v>0</v>
      </c>
      <c r="U292" s="124" t="str">
        <f ca="1">Sprache!$A$65</f>
        <v>T-75 Поворотный подъемник</v>
      </c>
      <c r="V292" s="194">
        <v>17</v>
      </c>
      <c r="W292" s="193">
        <v>17</v>
      </c>
      <c r="X292" s="187" t="str">
        <f ca="1">Sprache!$A$141</f>
        <v>Alu</v>
      </c>
      <c r="Y292" s="187" t="str">
        <f ca="1">Sprache!$A$136</f>
        <v>nein</v>
      </c>
      <c r="Z292" s="187" t="str">
        <f ca="1">Sprache!$A$79</f>
        <v>Створка</v>
      </c>
      <c r="AA292" s="187">
        <v>600</v>
      </c>
      <c r="AB292" s="124">
        <v>600</v>
      </c>
      <c r="AC292" s="187"/>
      <c r="AD292" s="195">
        <v>5.2</v>
      </c>
      <c r="AE292" s="196">
        <v>7</v>
      </c>
      <c r="AF292" s="263" t="str">
        <f>MID(Tabelle2[[#This Row],[bnr full]],1,4)</f>
        <v>F151</v>
      </c>
      <c r="AG292" s="264" t="str">
        <f>MID(Tabelle2[[#This Row],[bnr full]],5,3)</f>
        <v>147</v>
      </c>
      <c r="AH292" s="265" t="str">
        <f>MID(Tabelle2[[#This Row],[bnr full]],8,3)</f>
        <v>705</v>
      </c>
      <c r="AI292" s="264" t="str">
        <f>MID(Tabelle2[[#This Row],[bnr full]],11,3)</f>
        <v>201</v>
      </c>
      <c r="AJ292" s="252" t="str">
        <f>MID(Tabelle2[[#This Row],[bnr full]],11,3)</f>
        <v>201</v>
      </c>
      <c r="AK292" s="197" t="s">
        <v>797</v>
      </c>
      <c r="AL292" s="124" t="str">
        <f ca="1">Sprache!$A$111</f>
        <v>Комплект (Л + П)</v>
      </c>
      <c r="AM292" s="187" t="s">
        <v>25</v>
      </c>
      <c r="AN292" s="187" t="str">
        <f ca="1">Sprache!$A$125</f>
        <v>Пружина, стандарт</v>
      </c>
      <c r="AO292" s="187" t="s">
        <v>25</v>
      </c>
      <c r="AP292" s="187" t="s">
        <v>25</v>
      </c>
      <c r="AQ292" s="187">
        <f>Limits!$K$9</f>
        <v>200</v>
      </c>
      <c r="AR292" s="124">
        <v>1200</v>
      </c>
      <c r="AS292" s="187"/>
      <c r="AT292" s="124"/>
      <c r="AU292"/>
      <c r="AV292"/>
      <c r="AY292"/>
      <c r="AZ292"/>
      <c r="BA292"/>
      <c r="BB292"/>
      <c r="BC292"/>
    </row>
    <row r="293" spans="1:55" ht="15.75" hidden="1" thickTop="1" x14ac:dyDescent="0.25">
      <c r="A293" s="12" t="str">
        <f ca="1">IF(F293+G293+H293+I293+J293+D293+E293=3,IF(Tabelle2[[#This Row],[Kappe Weiß]]=Limits!$R$29,1,""),"")</f>
        <v/>
      </c>
      <c r="B293" s="12" t="str">
        <f ca="1">IF(G293+H293+I293+J293+E293+F293=2,IF(Tabelle2[[#This Row],[Kappe Weiß]]=Limits!$R$29,1,""),"")</f>
        <v/>
      </c>
      <c r="C293" s="293">
        <v>1</v>
      </c>
      <c r="D293" s="171">
        <f>IF(Limits!$P$9=TRUE,1,0)</f>
        <v>0</v>
      </c>
      <c r="E293" s="172">
        <f>IF(Daten!$P293+Daten!$Q293+Daten!$S293=3,1,0)</f>
        <v>0</v>
      </c>
      <c r="F293" s="173">
        <f ca="1">IF(AND(Limits!$Q$21=TRUE,Daten!O293=1)=TRUE,1,0)</f>
        <v>1</v>
      </c>
      <c r="G293" s="174">
        <f ca="1">IF(AND(Limits!$Q$25=TRUE,Daten!N293=1)=TRUE,1,0)</f>
        <v>0</v>
      </c>
      <c r="H293" s="174">
        <f ca="1">IF(AND(Limits!$Q$24=TRUE,Daten!M293=1)=TRUE,1,0)</f>
        <v>0</v>
      </c>
      <c r="I293" s="174">
        <f ca="1">IF(AND(Limits!$Q$23=TRUE,Daten!L293=1)=TRUE,1,0)</f>
        <v>0</v>
      </c>
      <c r="J293" s="174">
        <f ca="1">IF(AND(Limits!$Q$22=TRUE,Daten!K293=1)=TRUE,1,0)</f>
        <v>0</v>
      </c>
      <c r="K293" s="188">
        <f ca="1">IF(Daten!$V293=13,1,0)</f>
        <v>0</v>
      </c>
      <c r="L293" s="189">
        <f ca="1">IF(Daten!$V293&lt;&gt;Daten!$W293,1,IF(Daten!$V293=14,1,0))</f>
        <v>0</v>
      </c>
      <c r="M293" s="189">
        <f ca="1">IF(Daten!$V293&lt;&gt;Daten!$W293,1,IF(Daten!$V293=16,1,0))</f>
        <v>0</v>
      </c>
      <c r="N293" s="189">
        <f ca="1">IF(Daten!$W293=17,1,0)</f>
        <v>0</v>
      </c>
      <c r="O293" s="190">
        <f ca="1">IF(Daten!$X293=Sprache!$A$70,1,0)</f>
        <v>1</v>
      </c>
      <c r="P293" s="208">
        <f>IF(AND(Daten!$AQ293&lt;=KINVARO!$AW$3,Daten!$AR293&gt;=KINVARO!$AW$3)=TRUE,1,0)</f>
        <v>1</v>
      </c>
      <c r="Q293" s="209">
        <f>IF(AND(Daten!$AA293&lt;=KINVARO!$AW$4,Daten!$AB293&gt;=KINVARO!$AW$4)=TRUE,1,0)</f>
        <v>0</v>
      </c>
      <c r="R293" s="209"/>
      <c r="S293" s="209">
        <f>IF(AND(Daten!$AD293&lt;=Limits!$I$70,Daten!$AE293&gt;=Limits!$I$70)=TRUE,1,0)</f>
        <v>1</v>
      </c>
      <c r="T293" s="210">
        <f ca="1">IF(Daten!$Y293=Sprache!$A$135,1,0)</f>
        <v>0</v>
      </c>
      <c r="U293" s="211" t="str">
        <f ca="1">Sprache!$A$65</f>
        <v>T-75 Поворотный подъемник</v>
      </c>
      <c r="V293" s="212" t="str">
        <f ca="1">Sprache!$A$74</f>
        <v>var</v>
      </c>
      <c r="W293" s="210" t="str">
        <f ca="1">Sprache!$A$74</f>
        <v>var</v>
      </c>
      <c r="X293" s="213" t="str">
        <f ca="1">Sprache!$A$70</f>
        <v>соединение с древесиной</v>
      </c>
      <c r="Y293" s="187" t="str">
        <f ca="1">Sprache!$A$136</f>
        <v>nein</v>
      </c>
      <c r="Z293" s="213" t="str">
        <f ca="1">Sprache!$A$79</f>
        <v>Створка</v>
      </c>
      <c r="AA293" s="213">
        <v>400</v>
      </c>
      <c r="AB293" s="211">
        <v>449</v>
      </c>
      <c r="AC293" s="213"/>
      <c r="AD293" s="214">
        <v>7</v>
      </c>
      <c r="AE293" s="215">
        <v>11</v>
      </c>
      <c r="AF293" s="269" t="str">
        <f>MID(Tabelle2[[#This Row],[bnr full]],1,4)</f>
        <v>F151</v>
      </c>
      <c r="AG293" s="270" t="str">
        <f>MID(Tabelle2[[#This Row],[bnr full]],5,3)</f>
        <v>147</v>
      </c>
      <c r="AH293" s="271" t="str">
        <f>MID(Tabelle2[[#This Row],[bnr full]],8,3)</f>
        <v>700</v>
      </c>
      <c r="AI293" s="270" t="str">
        <f>MID(Tabelle2[[#This Row],[bnr full]],11,3)</f>
        <v>201</v>
      </c>
      <c r="AJ293" s="254" t="str">
        <f>MID(Tabelle2[[#This Row],[bnr full]],11,3)</f>
        <v>201</v>
      </c>
      <c r="AK293" s="216" t="s">
        <v>1656</v>
      </c>
      <c r="AL293" s="211" t="str">
        <f ca="1">Sprache!$A$111</f>
        <v>Комплект (Л + П)</v>
      </c>
      <c r="AM293" s="213" t="s">
        <v>25</v>
      </c>
      <c r="AN293" s="213" t="str">
        <f ca="1">Sprache!$A$125</f>
        <v>Пружина, стандарт</v>
      </c>
      <c r="AO293" s="213" t="s">
        <v>25</v>
      </c>
      <c r="AP293" s="213" t="s">
        <v>25</v>
      </c>
      <c r="AQ293" s="213">
        <f>Limits!$K$9</f>
        <v>200</v>
      </c>
      <c r="AR293" s="211">
        <v>1200</v>
      </c>
      <c r="AS293" s="187"/>
      <c r="AT293" s="124"/>
      <c r="AU293"/>
      <c r="AV293"/>
      <c r="AY293"/>
      <c r="AZ293"/>
      <c r="BA293"/>
      <c r="BB293"/>
      <c r="BC293"/>
    </row>
    <row r="294" spans="1:55" hidden="1" x14ac:dyDescent="0.25">
      <c r="A294" s="12" t="str">
        <f ca="1">IF(F294+G294+H294+I294+J294+D294+E294=3,IF(Tabelle2[[#This Row],[Kappe Weiß]]=Limits!$R$29,1,""),"")</f>
        <v/>
      </c>
      <c r="B294" s="12" t="str">
        <f ca="1">IF(G294+H294+I294+J294+E294+F294=2,IF(Tabelle2[[#This Row],[Kappe Weiß]]=Limits!$R$29,1,""),"")</f>
        <v/>
      </c>
      <c r="C294" s="291">
        <v>1</v>
      </c>
      <c r="D294" s="171">
        <f>IF(Limits!$P$9=TRUE,1,0)</f>
        <v>0</v>
      </c>
      <c r="E294" s="172">
        <f>IF(Daten!$P294+Daten!$Q294+Daten!$S294=3,1,0)</f>
        <v>0</v>
      </c>
      <c r="F294" s="173">
        <f ca="1">IF(AND(Limits!$Q$21=TRUE,Daten!O294=1)=TRUE,1,0)</f>
        <v>0</v>
      </c>
      <c r="G294" s="174">
        <f>IF(AND(Limits!$Q$25=TRUE,Daten!N294=1)=TRUE,1,0)</f>
        <v>0</v>
      </c>
      <c r="H294" s="174">
        <f>IF(AND(Limits!$Q$24=TRUE,Daten!M294=1)=TRUE,1,0)</f>
        <v>0</v>
      </c>
      <c r="I294" s="174">
        <f>IF(AND(Limits!$Q$23=TRUE,Daten!L294=1)=TRUE,1,0)</f>
        <v>0</v>
      </c>
      <c r="J294" s="174">
        <f>IF(AND(Limits!$Q$22=TRUE,Daten!K294=1)=TRUE,1,0)</f>
        <v>0</v>
      </c>
      <c r="K294" s="188">
        <f>IF(Daten!$V294=13,1,0)</f>
        <v>1</v>
      </c>
      <c r="L294" s="189">
        <f>IF(Daten!$V294&lt;&gt;Daten!$W294,1,IF(Daten!$V294=14,1,0))</f>
        <v>0</v>
      </c>
      <c r="M294" s="189">
        <f>IF(Daten!$V294&lt;&gt;Daten!$W294,1,IF(Daten!$V294=16,1,0))</f>
        <v>0</v>
      </c>
      <c r="N294" s="189">
        <f>IF(Daten!$W294=17,1,0)</f>
        <v>0</v>
      </c>
      <c r="O294" s="190">
        <f ca="1">IF(Daten!$X294=Sprache!$A$70,1,0)</f>
        <v>0</v>
      </c>
      <c r="P294" s="191">
        <f>IF(AND(Daten!$AQ294&lt;=KINVARO!$AW$3,Daten!$AR294&gt;=KINVARO!$AW$3)=TRUE,1,0)</f>
        <v>1</v>
      </c>
      <c r="Q294" s="192">
        <f>IF(AND(Daten!$AA294&lt;=KINVARO!$AW$4,Daten!$AB294&gt;=KINVARO!$AW$4)=TRUE,1,0)</f>
        <v>0</v>
      </c>
      <c r="R294" s="192"/>
      <c r="S294" s="192">
        <f>IF(AND(Daten!$AD294&lt;=Limits!$I$70,Daten!$AE294&gt;=Limits!$I$70)=TRUE,1,0)</f>
        <v>1</v>
      </c>
      <c r="T294" s="193">
        <f ca="1">IF(Daten!$Y294=Sprache!$A$135,1,0)</f>
        <v>0</v>
      </c>
      <c r="U294" s="124" t="str">
        <f ca="1">Sprache!$A$65</f>
        <v>T-75 Поворотный подъемник</v>
      </c>
      <c r="V294" s="194">
        <v>13</v>
      </c>
      <c r="W294" s="193">
        <v>13</v>
      </c>
      <c r="X294" s="187" t="str">
        <f ca="1">Sprache!$A$141</f>
        <v>Alu</v>
      </c>
      <c r="Y294" s="187" t="str">
        <f ca="1">Sprache!$A$136</f>
        <v>nein</v>
      </c>
      <c r="Z294" s="187" t="str">
        <f ca="1">Sprache!$A$79</f>
        <v>Створка</v>
      </c>
      <c r="AA294" s="187">
        <v>400</v>
      </c>
      <c r="AB294" s="124">
        <v>449</v>
      </c>
      <c r="AC294" s="187"/>
      <c r="AD294" s="195">
        <v>7</v>
      </c>
      <c r="AE294" s="196">
        <v>11</v>
      </c>
      <c r="AF294" s="263" t="str">
        <f>MID(Tabelle2[[#This Row],[bnr full]],1,4)</f>
        <v>F151</v>
      </c>
      <c r="AG294" s="264" t="str">
        <f>MID(Tabelle2[[#This Row],[bnr full]],5,3)</f>
        <v>147</v>
      </c>
      <c r="AH294" s="265" t="str">
        <f>MID(Tabelle2[[#This Row],[bnr full]],8,3)</f>
        <v>813</v>
      </c>
      <c r="AI294" s="264" t="str">
        <f>MID(Tabelle2[[#This Row],[bnr full]],11,3)</f>
        <v>201</v>
      </c>
      <c r="AJ294" s="252" t="str">
        <f>MID(Tabelle2[[#This Row],[bnr full]],11,3)</f>
        <v>201</v>
      </c>
      <c r="AK294" s="197" t="s">
        <v>1657</v>
      </c>
      <c r="AL294" s="124" t="str">
        <f ca="1">Sprache!$A$111</f>
        <v>Комплект (Л + П)</v>
      </c>
      <c r="AM294" s="187" t="s">
        <v>25</v>
      </c>
      <c r="AN294" s="187" t="str">
        <f ca="1">Sprache!$A$125</f>
        <v>Пружина, стандарт</v>
      </c>
      <c r="AO294" s="187" t="s">
        <v>25</v>
      </c>
      <c r="AP294" s="187" t="s">
        <v>25</v>
      </c>
      <c r="AQ294" s="187">
        <f>Limits!$K$9</f>
        <v>200</v>
      </c>
      <c r="AR294" s="124">
        <v>1200</v>
      </c>
      <c r="AS294" s="187"/>
      <c r="AT294" s="124"/>
      <c r="AU294"/>
      <c r="AV294"/>
      <c r="AY294"/>
      <c r="AZ294"/>
      <c r="BA294"/>
      <c r="BB294"/>
      <c r="BC294"/>
    </row>
    <row r="295" spans="1:55" hidden="1" x14ac:dyDescent="0.25">
      <c r="A295" s="12" t="str">
        <f ca="1">IF(F295+G295+H295+I295+J295+D295+E295=3,IF(Tabelle2[[#This Row],[Kappe Weiß]]=Limits!$R$29,1,""),"")</f>
        <v/>
      </c>
      <c r="B295" s="12" t="str">
        <f ca="1">IF(G295+H295+I295+J295+E295+F295=2,IF(Tabelle2[[#This Row],[Kappe Weiß]]=Limits!$R$29,1,""),"")</f>
        <v/>
      </c>
      <c r="C295" s="291">
        <v>1</v>
      </c>
      <c r="D295" s="171">
        <f>IF(Limits!$P$9=TRUE,1,0)</f>
        <v>0</v>
      </c>
      <c r="E295" s="172">
        <f>IF(Daten!$P295+Daten!$Q295+Daten!$S295=3,1,0)</f>
        <v>0</v>
      </c>
      <c r="F295" s="173">
        <f ca="1">IF(AND(Limits!$Q$21=TRUE,Daten!O295=1)=TRUE,1,0)</f>
        <v>0</v>
      </c>
      <c r="G295" s="174">
        <f>IF(AND(Limits!$Q$25=TRUE,Daten!N295=1)=TRUE,1,0)</f>
        <v>0</v>
      </c>
      <c r="H295" s="174">
        <f>IF(AND(Limits!$Q$24=TRUE,Daten!M295=1)=TRUE,1,0)</f>
        <v>0</v>
      </c>
      <c r="I295" s="174">
        <f>IF(AND(Limits!$Q$23=TRUE,Daten!L295=1)=TRUE,1,0)</f>
        <v>0</v>
      </c>
      <c r="J295" s="174">
        <f>IF(AND(Limits!$Q$22=TRUE,Daten!K295=1)=TRUE,1,0)</f>
        <v>0</v>
      </c>
      <c r="K295" s="188">
        <f>IF(Daten!$V295=13,1,0)</f>
        <v>0</v>
      </c>
      <c r="L295" s="189">
        <f>IF(Daten!$V295&lt;&gt;Daten!$W295,1,IF(Daten!$V295=14,1,0))</f>
        <v>1</v>
      </c>
      <c r="M295" s="189">
        <f>IF(Daten!$V295&lt;&gt;Daten!$W295,1,IF(Daten!$V295=16,1,0))</f>
        <v>0</v>
      </c>
      <c r="N295" s="189">
        <f>IF(Daten!$W295=17,1,0)</f>
        <v>0</v>
      </c>
      <c r="O295" s="190">
        <f ca="1">IF(Daten!$X295=Sprache!$A$70,1,0)</f>
        <v>0</v>
      </c>
      <c r="P295" s="191">
        <f>IF(AND(Daten!$AQ295&lt;=KINVARO!$AW$3,Daten!$AR295&gt;=KINVARO!$AW$3)=TRUE,1,0)</f>
        <v>1</v>
      </c>
      <c r="Q295" s="192">
        <f>IF(AND(Daten!$AA295&lt;=KINVARO!$AW$4,Daten!$AB295&gt;=KINVARO!$AW$4)=TRUE,1,0)</f>
        <v>0</v>
      </c>
      <c r="R295" s="192"/>
      <c r="S295" s="192">
        <f>IF(AND(Daten!$AD295&lt;=Limits!$I$70,Daten!$AE295&gt;=Limits!$I$70)=TRUE,1,0)</f>
        <v>1</v>
      </c>
      <c r="T295" s="193">
        <f ca="1">IF(Daten!$Y295=Sprache!$A$135,1,0)</f>
        <v>0</v>
      </c>
      <c r="U295" s="124" t="str">
        <f ca="1">Sprache!$A$65</f>
        <v>T-75 Поворотный подъемник</v>
      </c>
      <c r="V295" s="194">
        <v>14</v>
      </c>
      <c r="W295" s="193">
        <v>14</v>
      </c>
      <c r="X295" s="187" t="str">
        <f ca="1">Sprache!$A$141</f>
        <v>Alu</v>
      </c>
      <c r="Y295" s="187" t="str">
        <f ca="1">Sprache!$A$136</f>
        <v>nein</v>
      </c>
      <c r="Z295" s="187" t="str">
        <f ca="1">Sprache!$A$79</f>
        <v>Створка</v>
      </c>
      <c r="AA295" s="187">
        <v>400</v>
      </c>
      <c r="AB295" s="124">
        <v>449</v>
      </c>
      <c r="AC295" s="187"/>
      <c r="AD295" s="195">
        <v>7</v>
      </c>
      <c r="AE295" s="196">
        <v>11</v>
      </c>
      <c r="AF295" s="263" t="str">
        <f>MID(Tabelle2[[#This Row],[bnr full]],1,4)</f>
        <v>F151</v>
      </c>
      <c r="AG295" s="264" t="str">
        <f>MID(Tabelle2[[#This Row],[bnr full]],5,3)</f>
        <v>147</v>
      </c>
      <c r="AH295" s="265" t="str">
        <f>MID(Tabelle2[[#This Row],[bnr full]],8,3)</f>
        <v>814</v>
      </c>
      <c r="AI295" s="264" t="str">
        <f>MID(Tabelle2[[#This Row],[bnr full]],11,3)</f>
        <v>201</v>
      </c>
      <c r="AJ295" s="252" t="str">
        <f>MID(Tabelle2[[#This Row],[bnr full]],11,3)</f>
        <v>201</v>
      </c>
      <c r="AK295" s="197" t="s">
        <v>1658</v>
      </c>
      <c r="AL295" s="124" t="str">
        <f ca="1">Sprache!$A$111</f>
        <v>Комплект (Л + П)</v>
      </c>
      <c r="AM295" s="187" t="s">
        <v>25</v>
      </c>
      <c r="AN295" s="187" t="str">
        <f ca="1">Sprache!$A$125</f>
        <v>Пружина, стандарт</v>
      </c>
      <c r="AO295" s="187" t="s">
        <v>25</v>
      </c>
      <c r="AP295" s="187" t="s">
        <v>25</v>
      </c>
      <c r="AQ295" s="187">
        <f>Limits!$K$9</f>
        <v>200</v>
      </c>
      <c r="AR295" s="124">
        <v>1200</v>
      </c>
      <c r="AS295" s="187"/>
      <c r="AT295" s="124"/>
      <c r="AU295"/>
      <c r="AV295"/>
      <c r="AY295"/>
      <c r="AZ295"/>
      <c r="BA295"/>
      <c r="BB295"/>
      <c r="BC295"/>
    </row>
    <row r="296" spans="1:55" hidden="1" x14ac:dyDescent="0.25">
      <c r="A296" s="12" t="str">
        <f ca="1">IF(F296+G296+H296+I296+J296+D296+E296=3,IF(Tabelle2[[#This Row],[Kappe Weiß]]=Limits!$R$29,1,""),"")</f>
        <v/>
      </c>
      <c r="B296" s="12" t="str">
        <f ca="1">IF(G296+H296+I296+J296+E296+F296=2,IF(Tabelle2[[#This Row],[Kappe Weiß]]=Limits!$R$29,1,""),"")</f>
        <v/>
      </c>
      <c r="C296" s="291">
        <v>1</v>
      </c>
      <c r="D296" s="171">
        <f>IF(Limits!$P$9=TRUE,1,0)</f>
        <v>0</v>
      </c>
      <c r="E296" s="172">
        <f>IF(Daten!$P296+Daten!$Q296+Daten!$S296=3,1,0)</f>
        <v>0</v>
      </c>
      <c r="F296" s="173">
        <f ca="1">IF(AND(Limits!$Q$21=TRUE,Daten!O296=1)=TRUE,1,0)</f>
        <v>0</v>
      </c>
      <c r="G296" s="174">
        <f>IF(AND(Limits!$Q$25=TRUE,Daten!N296=1)=TRUE,1,0)</f>
        <v>0</v>
      </c>
      <c r="H296" s="174">
        <f>IF(AND(Limits!$Q$24=TRUE,Daten!M296=1)=TRUE,1,0)</f>
        <v>0</v>
      </c>
      <c r="I296" s="174">
        <f>IF(AND(Limits!$Q$23=TRUE,Daten!L296=1)=TRUE,1,0)</f>
        <v>0</v>
      </c>
      <c r="J296" s="174">
        <f>IF(AND(Limits!$Q$22=TRUE,Daten!K296=1)=TRUE,1,0)</f>
        <v>0</v>
      </c>
      <c r="K296" s="188">
        <f>IF(Daten!$V296=13,1,0)</f>
        <v>0</v>
      </c>
      <c r="L296" s="189">
        <f>IF(Daten!$V296&lt;&gt;Daten!$W296,1,IF(Daten!$V296=14,1,0))</f>
        <v>0</v>
      </c>
      <c r="M296" s="189">
        <f>IF(Daten!$V296&lt;&gt;Daten!$W296,1,IF(Daten!$V296=16,1,0))</f>
        <v>1</v>
      </c>
      <c r="N296" s="189">
        <f>IF(Daten!$W296=17,1,0)</f>
        <v>0</v>
      </c>
      <c r="O296" s="190">
        <f ca="1">IF(Daten!$X296=Sprache!$A$70,1,0)</f>
        <v>0</v>
      </c>
      <c r="P296" s="191">
        <f>IF(AND(Daten!$AQ296&lt;=KINVARO!$AW$3,Daten!$AR296&gt;=KINVARO!$AW$3)=TRUE,1,0)</f>
        <v>1</v>
      </c>
      <c r="Q296" s="192">
        <f>IF(AND(Daten!$AA296&lt;=KINVARO!$AW$4,Daten!$AB296&gt;=KINVARO!$AW$4)=TRUE,1,0)</f>
        <v>0</v>
      </c>
      <c r="R296" s="192"/>
      <c r="S296" s="192">
        <f>IF(AND(Daten!$AD296&lt;=Limits!$I$70,Daten!$AE296&gt;=Limits!$I$70)=TRUE,1,0)</f>
        <v>1</v>
      </c>
      <c r="T296" s="193">
        <f ca="1">IF(Daten!$Y296=Sprache!$A$135,1,0)</f>
        <v>0</v>
      </c>
      <c r="U296" s="124" t="str">
        <f ca="1">Sprache!$A$65</f>
        <v>T-75 Поворотный подъемник</v>
      </c>
      <c r="V296" s="194">
        <v>16</v>
      </c>
      <c r="W296" s="193">
        <v>16</v>
      </c>
      <c r="X296" s="187" t="str">
        <f ca="1">Sprache!$A$141</f>
        <v>Alu</v>
      </c>
      <c r="Y296" s="187" t="str">
        <f ca="1">Sprache!$A$136</f>
        <v>nein</v>
      </c>
      <c r="Z296" s="187" t="str">
        <f ca="1">Sprache!$A$79</f>
        <v>Створка</v>
      </c>
      <c r="AA296" s="187">
        <v>400</v>
      </c>
      <c r="AB296" s="124">
        <v>449</v>
      </c>
      <c r="AC296" s="187"/>
      <c r="AD296" s="195">
        <v>7</v>
      </c>
      <c r="AE296" s="196">
        <v>11</v>
      </c>
      <c r="AF296" s="263" t="str">
        <f>MID(Tabelle2[[#This Row],[bnr full]],1,4)</f>
        <v>F151</v>
      </c>
      <c r="AG296" s="264" t="str">
        <f>MID(Tabelle2[[#This Row],[bnr full]],5,3)</f>
        <v>147</v>
      </c>
      <c r="AH296" s="265" t="str">
        <f>MID(Tabelle2[[#This Row],[bnr full]],8,3)</f>
        <v>815</v>
      </c>
      <c r="AI296" s="264" t="str">
        <f>MID(Tabelle2[[#This Row],[bnr full]],11,3)</f>
        <v>201</v>
      </c>
      <c r="AJ296" s="252" t="str">
        <f>MID(Tabelle2[[#This Row],[bnr full]],11,3)</f>
        <v>201</v>
      </c>
      <c r="AK296" s="197" t="s">
        <v>1659</v>
      </c>
      <c r="AL296" s="124" t="str">
        <f ca="1">Sprache!$A$111</f>
        <v>Комплект (Л + П)</v>
      </c>
      <c r="AM296" s="187" t="s">
        <v>25</v>
      </c>
      <c r="AN296" s="187" t="str">
        <f ca="1">Sprache!$A$125</f>
        <v>Пружина, стандарт</v>
      </c>
      <c r="AO296" s="187" t="s">
        <v>25</v>
      </c>
      <c r="AP296" s="187" t="s">
        <v>25</v>
      </c>
      <c r="AQ296" s="187">
        <f>Limits!$K$9</f>
        <v>200</v>
      </c>
      <c r="AR296" s="124">
        <v>1200</v>
      </c>
      <c r="AS296" s="187"/>
      <c r="AT296" s="124"/>
      <c r="AU296"/>
      <c r="AV296"/>
      <c r="AY296"/>
      <c r="AZ296"/>
      <c r="BA296"/>
      <c r="BB296"/>
      <c r="BC296"/>
    </row>
    <row r="297" spans="1:55" s="5" customFormat="1" hidden="1" x14ac:dyDescent="0.25">
      <c r="A297" s="12" t="str">
        <f ca="1">IF(F297+G297+H297+I297+J297+D297+E297=3,IF(Tabelle2[[#This Row],[Kappe Weiß]]=Limits!$R$29,1,""),"")</f>
        <v/>
      </c>
      <c r="B297" s="12" t="str">
        <f ca="1">IF(G297+H297+I297+J297+E297+F297=2,IF(Tabelle2[[#This Row],[Kappe Weiß]]=Limits!$R$29,1,""),"")</f>
        <v/>
      </c>
      <c r="C297" s="291">
        <v>1</v>
      </c>
      <c r="D297" s="171">
        <f>IF(Limits!$P$9=TRUE,1,0)</f>
        <v>0</v>
      </c>
      <c r="E297" s="172">
        <f>IF(Daten!$P297+Daten!$Q297+Daten!$S297=3,1,0)</f>
        <v>0</v>
      </c>
      <c r="F297" s="173">
        <f ca="1">IF(AND(Limits!$Q$21=TRUE,Daten!O297=1)=TRUE,1,0)</f>
        <v>0</v>
      </c>
      <c r="G297" s="174">
        <f>IF(AND(Limits!$Q$25=TRUE,Daten!N297=1)=TRUE,1,0)</f>
        <v>0</v>
      </c>
      <c r="H297" s="174">
        <f>IF(AND(Limits!$Q$24=TRUE,Daten!M297=1)=TRUE,1,0)</f>
        <v>0</v>
      </c>
      <c r="I297" s="174">
        <f>IF(AND(Limits!$Q$23=TRUE,Daten!L297=1)=TRUE,1,0)</f>
        <v>0</v>
      </c>
      <c r="J297" s="174">
        <f>IF(AND(Limits!$Q$22=TRUE,Daten!K297=1)=TRUE,1,0)</f>
        <v>0</v>
      </c>
      <c r="K297" s="188">
        <f>IF(Daten!$V297=13,1,0)</f>
        <v>0</v>
      </c>
      <c r="L297" s="189">
        <f>IF(Daten!$V297&lt;&gt;Daten!$W297,1,IF(Daten!$V297=14,1,0))</f>
        <v>0</v>
      </c>
      <c r="M297" s="189">
        <f>IF(Daten!$V297&lt;&gt;Daten!$W297,1,IF(Daten!$V297=16,1,0))</f>
        <v>0</v>
      </c>
      <c r="N297" s="189">
        <f>IF(Daten!$W297=17,1,0)</f>
        <v>1</v>
      </c>
      <c r="O297" s="190">
        <f ca="1">IF(Daten!$X297=Sprache!$A$70,1,0)</f>
        <v>0</v>
      </c>
      <c r="P297" s="191">
        <f>IF(AND(Daten!$AQ297&lt;=KINVARO!$AW$3,Daten!$AR297&gt;=KINVARO!$AW$3)=TRUE,1,0)</f>
        <v>1</v>
      </c>
      <c r="Q297" s="192">
        <f>IF(AND(Daten!$AA297&lt;=KINVARO!$AW$4,Daten!$AB297&gt;=KINVARO!$AW$4)=TRUE,1,0)</f>
        <v>0</v>
      </c>
      <c r="R297" s="192"/>
      <c r="S297" s="192">
        <f>IF(AND(Daten!$AD297&lt;=Limits!$I$70,Daten!$AE297&gt;=Limits!$I$70)=TRUE,1,0)</f>
        <v>1</v>
      </c>
      <c r="T297" s="193">
        <f ca="1">IF(Daten!$Y297=Sprache!$A$135,1,0)</f>
        <v>0</v>
      </c>
      <c r="U297" s="124" t="str">
        <f ca="1">Sprache!$A$65</f>
        <v>T-75 Поворотный подъемник</v>
      </c>
      <c r="V297" s="194">
        <v>17</v>
      </c>
      <c r="W297" s="193">
        <v>17</v>
      </c>
      <c r="X297" s="187" t="str">
        <f ca="1">Sprache!$A$141</f>
        <v>Alu</v>
      </c>
      <c r="Y297" s="187" t="str">
        <f ca="1">Sprache!$A$136</f>
        <v>nein</v>
      </c>
      <c r="Z297" s="187" t="str">
        <f ca="1">Sprache!$A$79</f>
        <v>Створка</v>
      </c>
      <c r="AA297" s="187">
        <v>400</v>
      </c>
      <c r="AB297" s="124">
        <v>449</v>
      </c>
      <c r="AC297" s="187"/>
      <c r="AD297" s="195">
        <v>7</v>
      </c>
      <c r="AE297" s="196">
        <v>11</v>
      </c>
      <c r="AF297" s="263" t="str">
        <f>MID(Tabelle2[[#This Row],[bnr full]],1,4)</f>
        <v>F151</v>
      </c>
      <c r="AG297" s="264" t="str">
        <f>MID(Tabelle2[[#This Row],[bnr full]],5,3)</f>
        <v>147</v>
      </c>
      <c r="AH297" s="265" t="str">
        <f>MID(Tabelle2[[#This Row],[bnr full]],8,3)</f>
        <v>816</v>
      </c>
      <c r="AI297" s="264" t="str">
        <f>MID(Tabelle2[[#This Row],[bnr full]],11,3)</f>
        <v>201</v>
      </c>
      <c r="AJ297" s="252" t="str">
        <f>MID(Tabelle2[[#This Row],[bnr full]],11,3)</f>
        <v>201</v>
      </c>
      <c r="AK297" s="197" t="s">
        <v>1660</v>
      </c>
      <c r="AL297" s="124" t="str">
        <f ca="1">Sprache!$A$111</f>
        <v>Комплект (Л + П)</v>
      </c>
      <c r="AM297" s="187" t="s">
        <v>25</v>
      </c>
      <c r="AN297" s="187" t="str">
        <f ca="1">Sprache!$A$125</f>
        <v>Пружина, стандарт</v>
      </c>
      <c r="AO297" s="187" t="s">
        <v>25</v>
      </c>
      <c r="AP297" s="187" t="s">
        <v>25</v>
      </c>
      <c r="AQ297" s="187">
        <f>Limits!$K$9</f>
        <v>200</v>
      </c>
      <c r="AR297" s="124">
        <v>1200</v>
      </c>
      <c r="AS297" s="187"/>
      <c r="AT297" s="124"/>
    </row>
    <row r="298" spans="1:55" hidden="1" x14ac:dyDescent="0.25">
      <c r="A298" s="12" t="str">
        <f ca="1">IF(F298+G298+H298+I298+J298+D298+E298=3,IF(Tabelle2[[#This Row],[Kappe Weiß]]=Limits!$R$29,1,""),"")</f>
        <v/>
      </c>
      <c r="B298" s="12" t="str">
        <f ca="1">IF(G298+H298+I298+J298+E298+F298=2,IF(Tabelle2[[#This Row],[Kappe Weiß]]=Limits!$R$29,1,""),"")</f>
        <v/>
      </c>
      <c r="C298" s="292">
        <v>1</v>
      </c>
      <c r="D298" s="171">
        <f>IF(Limits!$P$9=TRUE,1,0)</f>
        <v>0</v>
      </c>
      <c r="E298" s="172">
        <f>IF(Daten!$P298+Daten!$Q298+Daten!$S298=3,1,0)</f>
        <v>0</v>
      </c>
      <c r="F298" s="173">
        <f ca="1">IF(AND(Limits!$Q$21=TRUE,Daten!O298=1)=TRUE,1,0)</f>
        <v>1</v>
      </c>
      <c r="G298" s="174">
        <f ca="1">IF(AND(Limits!$Q$25=TRUE,Daten!N298=1)=TRUE,1,0)</f>
        <v>0</v>
      </c>
      <c r="H298" s="174">
        <f ca="1">IF(AND(Limits!$Q$24=TRUE,Daten!M298=1)=TRUE,1,0)</f>
        <v>0</v>
      </c>
      <c r="I298" s="174">
        <f ca="1">IF(AND(Limits!$Q$23=TRUE,Daten!L298=1)=TRUE,1,0)</f>
        <v>0</v>
      </c>
      <c r="J298" s="174">
        <f ca="1">IF(AND(Limits!$Q$22=TRUE,Daten!K298=1)=TRUE,1,0)</f>
        <v>0</v>
      </c>
      <c r="K298" s="188">
        <f ca="1">IF(Daten!$V298=13,1,0)</f>
        <v>0</v>
      </c>
      <c r="L298" s="189">
        <f ca="1">IF(Daten!$V298&lt;&gt;Daten!$W298,1,IF(Daten!$V298=14,1,0))</f>
        <v>0</v>
      </c>
      <c r="M298" s="189">
        <f ca="1">IF(Daten!$V298&lt;&gt;Daten!$W298,1,IF(Daten!$V298=16,1,0))</f>
        <v>0</v>
      </c>
      <c r="N298" s="189">
        <f ca="1">IF(Daten!$W298=17,1,0)</f>
        <v>0</v>
      </c>
      <c r="O298" s="190">
        <f ca="1">IF(Daten!$X298=Sprache!$A$70,1,0)</f>
        <v>1</v>
      </c>
      <c r="P298" s="198">
        <f>IF(AND(Daten!$AQ298&lt;=KINVARO!$AW$3,Daten!$AR298&gt;=KINVARO!$AW$3)=TRUE,1,0)</f>
        <v>1</v>
      </c>
      <c r="Q298" s="199">
        <f>IF(AND(Daten!$AA298&lt;=KINVARO!$AW$4,Daten!$AB298&gt;=KINVARO!$AW$4)=TRUE,1,0)</f>
        <v>0</v>
      </c>
      <c r="R298" s="199"/>
      <c r="S298" s="199">
        <f>IF(AND(Daten!$AD298&lt;=Limits!$I$70,Daten!$AE298&gt;=Limits!$I$70)=TRUE,1,0)</f>
        <v>0</v>
      </c>
      <c r="T298" s="200">
        <f ca="1">IF(Daten!$Y298=Sprache!$A$135,1,0)</f>
        <v>0</v>
      </c>
      <c r="U298" s="201" t="str">
        <f ca="1">Sprache!$A$65</f>
        <v>T-75 Поворотный подъемник</v>
      </c>
      <c r="V298" s="202" t="str">
        <f ca="1">Sprache!$A$74</f>
        <v>var</v>
      </c>
      <c r="W298" s="200" t="str">
        <f ca="1">Sprache!$A$74</f>
        <v>var</v>
      </c>
      <c r="X298" s="203" t="str">
        <f ca="1">Sprache!$A$70</f>
        <v>соединение с древесиной</v>
      </c>
      <c r="Y298" s="187" t="str">
        <f ca="1">Sprache!$A$136</f>
        <v>nein</v>
      </c>
      <c r="Z298" s="203" t="str">
        <f ca="1">Sprache!$A$79</f>
        <v>Створка</v>
      </c>
      <c r="AA298" s="203">
        <v>450</v>
      </c>
      <c r="AB298" s="201">
        <v>499</v>
      </c>
      <c r="AC298" s="203"/>
      <c r="AD298" s="204">
        <v>6.7</v>
      </c>
      <c r="AE298" s="205">
        <v>9.6</v>
      </c>
      <c r="AF298" s="266" t="str">
        <f>MID(Tabelle2[[#This Row],[bnr full]],1,4)</f>
        <v>F151</v>
      </c>
      <c r="AG298" s="267" t="str">
        <f>MID(Tabelle2[[#This Row],[bnr full]],5,3)</f>
        <v>147</v>
      </c>
      <c r="AH298" s="268" t="str">
        <f>MID(Tabelle2[[#This Row],[bnr full]],8,3)</f>
        <v>700</v>
      </c>
      <c r="AI298" s="267" t="str">
        <f>MID(Tabelle2[[#This Row],[bnr full]],11,3)</f>
        <v>201</v>
      </c>
      <c r="AJ298" s="253" t="str">
        <f>MID(Tabelle2[[#This Row],[bnr full]],11,3)</f>
        <v>201</v>
      </c>
      <c r="AK298" s="206" t="s">
        <v>1656</v>
      </c>
      <c r="AL298" s="201" t="str">
        <f ca="1">Sprache!$A$111</f>
        <v>Комплект (Л + П)</v>
      </c>
      <c r="AM298" s="203" t="s">
        <v>25</v>
      </c>
      <c r="AN298" s="203" t="str">
        <f ca="1">Sprache!$A$125</f>
        <v>Пружина, стандарт</v>
      </c>
      <c r="AO298" s="187" t="s">
        <v>25</v>
      </c>
      <c r="AP298" s="187" t="s">
        <v>25</v>
      </c>
      <c r="AQ298" s="203">
        <f>Limits!$K$9</f>
        <v>200</v>
      </c>
      <c r="AR298" s="201">
        <v>1200</v>
      </c>
      <c r="AS298" s="187"/>
      <c r="AT298" s="124"/>
      <c r="AU298"/>
      <c r="AV298"/>
      <c r="AY298"/>
      <c r="AZ298"/>
      <c r="BA298"/>
      <c r="BB298"/>
      <c r="BC298"/>
    </row>
    <row r="299" spans="1:55" hidden="1" x14ac:dyDescent="0.25">
      <c r="A299" s="12" t="str">
        <f ca="1">IF(F299+G299+H299+I299+J299+D299+E299=3,IF(Tabelle2[[#This Row],[Kappe Weiß]]=Limits!$R$29,1,""),"")</f>
        <v/>
      </c>
      <c r="B299" s="12" t="str">
        <f ca="1">IF(G299+H299+I299+J299+E299+F299=2,IF(Tabelle2[[#This Row],[Kappe Weiß]]=Limits!$R$29,1,""),"")</f>
        <v/>
      </c>
      <c r="C299" s="291">
        <v>1</v>
      </c>
      <c r="D299" s="171">
        <f>IF(Limits!$P$9=TRUE,1,0)</f>
        <v>0</v>
      </c>
      <c r="E299" s="172">
        <f>IF(Daten!$P299+Daten!$Q299+Daten!$S299=3,1,0)</f>
        <v>0</v>
      </c>
      <c r="F299" s="173">
        <f ca="1">IF(AND(Limits!$Q$21=TRUE,Daten!O299=1)=TRUE,1,0)</f>
        <v>0</v>
      </c>
      <c r="G299" s="174">
        <f>IF(AND(Limits!$Q$25=TRUE,Daten!N299=1)=TRUE,1,0)</f>
        <v>0</v>
      </c>
      <c r="H299" s="174">
        <f>IF(AND(Limits!$Q$24=TRUE,Daten!M299=1)=TRUE,1,0)</f>
        <v>0</v>
      </c>
      <c r="I299" s="174">
        <f>IF(AND(Limits!$Q$23=TRUE,Daten!L299=1)=TRUE,1,0)</f>
        <v>0</v>
      </c>
      <c r="J299" s="174">
        <f>IF(AND(Limits!$Q$22=TRUE,Daten!K299=1)=TRUE,1,0)</f>
        <v>0</v>
      </c>
      <c r="K299" s="188">
        <f>IF(Daten!$V299=13,1,0)</f>
        <v>1</v>
      </c>
      <c r="L299" s="189">
        <f>IF(Daten!$V299&lt;&gt;Daten!$W299,1,IF(Daten!$V299=14,1,0))</f>
        <v>0</v>
      </c>
      <c r="M299" s="189">
        <f>IF(Daten!$V299&lt;&gt;Daten!$W299,1,IF(Daten!$V299=16,1,0))</f>
        <v>0</v>
      </c>
      <c r="N299" s="189">
        <f>IF(Daten!$W299=17,1,0)</f>
        <v>0</v>
      </c>
      <c r="O299" s="190">
        <f ca="1">IF(Daten!$X299=Sprache!$A$70,1,0)</f>
        <v>0</v>
      </c>
      <c r="P299" s="191">
        <f>IF(AND(Daten!$AQ299&lt;=KINVARO!$AW$3,Daten!$AR299&gt;=KINVARO!$AW$3)=TRUE,1,0)</f>
        <v>1</v>
      </c>
      <c r="Q299" s="192">
        <f>IF(AND(Daten!$AA299&lt;=KINVARO!$AW$4,Daten!$AB299&gt;=KINVARO!$AW$4)=TRUE,1,0)</f>
        <v>0</v>
      </c>
      <c r="R299" s="192"/>
      <c r="S299" s="192">
        <f>IF(AND(Daten!$AD299&lt;=Limits!$I$70,Daten!$AE299&gt;=Limits!$I$70)=TRUE,1,0)</f>
        <v>0</v>
      </c>
      <c r="T299" s="193">
        <f ca="1">IF(Daten!$Y299=Sprache!$A$135,1,0)</f>
        <v>0</v>
      </c>
      <c r="U299" s="124" t="str">
        <f ca="1">Sprache!$A$65</f>
        <v>T-75 Поворотный подъемник</v>
      </c>
      <c r="V299" s="194">
        <v>13</v>
      </c>
      <c r="W299" s="193">
        <v>13</v>
      </c>
      <c r="X299" s="187" t="str">
        <f ca="1">Sprache!$A$141</f>
        <v>Alu</v>
      </c>
      <c r="Y299" s="187" t="str">
        <f ca="1">Sprache!$A$136</f>
        <v>nein</v>
      </c>
      <c r="Z299" s="187" t="str">
        <f ca="1">Sprache!$A$79</f>
        <v>Створка</v>
      </c>
      <c r="AA299" s="187">
        <v>450</v>
      </c>
      <c r="AB299" s="124">
        <v>499</v>
      </c>
      <c r="AC299" s="187"/>
      <c r="AD299" s="195">
        <v>6.7</v>
      </c>
      <c r="AE299" s="196">
        <v>9.6</v>
      </c>
      <c r="AF299" s="263" t="str">
        <f>MID(Tabelle2[[#This Row],[bnr full]],1,4)</f>
        <v>F151</v>
      </c>
      <c r="AG299" s="264" t="str">
        <f>MID(Tabelle2[[#This Row],[bnr full]],5,3)</f>
        <v>147</v>
      </c>
      <c r="AH299" s="265" t="str">
        <f>MID(Tabelle2[[#This Row],[bnr full]],8,3)</f>
        <v>813</v>
      </c>
      <c r="AI299" s="264" t="str">
        <f>MID(Tabelle2[[#This Row],[bnr full]],11,3)</f>
        <v>201</v>
      </c>
      <c r="AJ299" s="252" t="str">
        <f>MID(Tabelle2[[#This Row],[bnr full]],11,3)</f>
        <v>201</v>
      </c>
      <c r="AK299" s="197" t="s">
        <v>1657</v>
      </c>
      <c r="AL299" s="124" t="str">
        <f ca="1">Sprache!$A$111</f>
        <v>Комплект (Л + П)</v>
      </c>
      <c r="AM299" s="187" t="s">
        <v>25</v>
      </c>
      <c r="AN299" s="187" t="str">
        <f ca="1">Sprache!$A$125</f>
        <v>Пружина, стандарт</v>
      </c>
      <c r="AO299" s="187" t="s">
        <v>25</v>
      </c>
      <c r="AP299" s="187" t="s">
        <v>25</v>
      </c>
      <c r="AQ299" s="187">
        <f>Limits!$K$9</f>
        <v>200</v>
      </c>
      <c r="AR299" s="124">
        <v>1200</v>
      </c>
      <c r="AS299" s="187"/>
      <c r="AT299" s="124"/>
      <c r="AU299"/>
      <c r="AV299"/>
      <c r="AY299"/>
      <c r="AZ299"/>
      <c r="BA299"/>
      <c r="BB299"/>
      <c r="BC299"/>
    </row>
    <row r="300" spans="1:55" hidden="1" x14ac:dyDescent="0.25">
      <c r="A300" s="12" t="str">
        <f ca="1">IF(F300+G300+H300+I300+J300+D300+E300=3,IF(Tabelle2[[#This Row],[Kappe Weiß]]=Limits!$R$29,1,""),"")</f>
        <v/>
      </c>
      <c r="B300" s="12" t="str">
        <f ca="1">IF(G300+H300+I300+J300+E300+F300=2,IF(Tabelle2[[#This Row],[Kappe Weiß]]=Limits!$R$29,1,""),"")</f>
        <v/>
      </c>
      <c r="C300" s="291">
        <v>1</v>
      </c>
      <c r="D300" s="171">
        <f>IF(Limits!$P$9=TRUE,1,0)</f>
        <v>0</v>
      </c>
      <c r="E300" s="172">
        <f>IF(Daten!$P300+Daten!$Q300+Daten!$S300=3,1,0)</f>
        <v>0</v>
      </c>
      <c r="F300" s="173">
        <f ca="1">IF(AND(Limits!$Q$21=TRUE,Daten!O300=1)=TRUE,1,0)</f>
        <v>0</v>
      </c>
      <c r="G300" s="174">
        <f>IF(AND(Limits!$Q$25=TRUE,Daten!N300=1)=TRUE,1,0)</f>
        <v>0</v>
      </c>
      <c r="H300" s="174">
        <f>IF(AND(Limits!$Q$24=TRUE,Daten!M300=1)=TRUE,1,0)</f>
        <v>0</v>
      </c>
      <c r="I300" s="174">
        <f>IF(AND(Limits!$Q$23=TRUE,Daten!L300=1)=TRUE,1,0)</f>
        <v>0</v>
      </c>
      <c r="J300" s="174">
        <f>IF(AND(Limits!$Q$22=TRUE,Daten!K300=1)=TRUE,1,0)</f>
        <v>0</v>
      </c>
      <c r="K300" s="188">
        <f>IF(Daten!$V300=13,1,0)</f>
        <v>0</v>
      </c>
      <c r="L300" s="189">
        <f>IF(Daten!$V300&lt;&gt;Daten!$W300,1,IF(Daten!$V300=14,1,0))</f>
        <v>1</v>
      </c>
      <c r="M300" s="189">
        <f>IF(Daten!$V300&lt;&gt;Daten!$W300,1,IF(Daten!$V300=16,1,0))</f>
        <v>0</v>
      </c>
      <c r="N300" s="189">
        <f>IF(Daten!$W300=17,1,0)</f>
        <v>0</v>
      </c>
      <c r="O300" s="190">
        <f ca="1">IF(Daten!$X300=Sprache!$A$70,1,0)</f>
        <v>0</v>
      </c>
      <c r="P300" s="191">
        <f>IF(AND(Daten!$AQ300&lt;=KINVARO!$AW$3,Daten!$AR300&gt;=KINVARO!$AW$3)=TRUE,1,0)</f>
        <v>1</v>
      </c>
      <c r="Q300" s="192">
        <f>IF(AND(Daten!$AA300&lt;=KINVARO!$AW$4,Daten!$AB300&gt;=KINVARO!$AW$4)=TRUE,1,0)</f>
        <v>0</v>
      </c>
      <c r="R300" s="192"/>
      <c r="S300" s="192">
        <f>IF(AND(Daten!$AD300&lt;=Limits!$I$70,Daten!$AE300&gt;=Limits!$I$70)=TRUE,1,0)</f>
        <v>0</v>
      </c>
      <c r="T300" s="193">
        <f ca="1">IF(Daten!$Y300=Sprache!$A$135,1,0)</f>
        <v>0</v>
      </c>
      <c r="U300" s="124" t="str">
        <f ca="1">Sprache!$A$65</f>
        <v>T-75 Поворотный подъемник</v>
      </c>
      <c r="V300" s="194">
        <v>14</v>
      </c>
      <c r="W300" s="193">
        <v>14</v>
      </c>
      <c r="X300" s="187" t="str">
        <f ca="1">Sprache!$A$141</f>
        <v>Alu</v>
      </c>
      <c r="Y300" s="187" t="str">
        <f ca="1">Sprache!$A$136</f>
        <v>nein</v>
      </c>
      <c r="Z300" s="187" t="str">
        <f ca="1">Sprache!$A$79</f>
        <v>Створка</v>
      </c>
      <c r="AA300" s="187">
        <v>450</v>
      </c>
      <c r="AB300" s="124">
        <v>499</v>
      </c>
      <c r="AC300" s="187"/>
      <c r="AD300" s="195">
        <v>6.7</v>
      </c>
      <c r="AE300" s="196">
        <v>9.6</v>
      </c>
      <c r="AF300" s="263" t="str">
        <f>MID(Tabelle2[[#This Row],[bnr full]],1,4)</f>
        <v>F151</v>
      </c>
      <c r="AG300" s="264" t="str">
        <f>MID(Tabelle2[[#This Row],[bnr full]],5,3)</f>
        <v>147</v>
      </c>
      <c r="AH300" s="265" t="str">
        <f>MID(Tabelle2[[#This Row],[bnr full]],8,3)</f>
        <v>814</v>
      </c>
      <c r="AI300" s="264" t="str">
        <f>MID(Tabelle2[[#This Row],[bnr full]],11,3)</f>
        <v>201</v>
      </c>
      <c r="AJ300" s="252" t="str">
        <f>MID(Tabelle2[[#This Row],[bnr full]],11,3)</f>
        <v>201</v>
      </c>
      <c r="AK300" s="197" t="s">
        <v>1658</v>
      </c>
      <c r="AL300" s="124" t="str">
        <f ca="1">Sprache!$A$111</f>
        <v>Комплект (Л + П)</v>
      </c>
      <c r="AM300" s="187" t="s">
        <v>25</v>
      </c>
      <c r="AN300" s="187" t="str">
        <f ca="1">Sprache!$A$125</f>
        <v>Пружина, стандарт</v>
      </c>
      <c r="AO300" s="187" t="s">
        <v>25</v>
      </c>
      <c r="AP300" s="187" t="s">
        <v>25</v>
      </c>
      <c r="AQ300" s="187">
        <f>Limits!$K$9</f>
        <v>200</v>
      </c>
      <c r="AR300" s="124">
        <v>1200</v>
      </c>
      <c r="AS300" s="187"/>
      <c r="AT300" s="124"/>
      <c r="AU300"/>
      <c r="AV300"/>
      <c r="AY300"/>
      <c r="AZ300"/>
      <c r="BA300"/>
      <c r="BB300"/>
      <c r="BC300"/>
    </row>
    <row r="301" spans="1:55" hidden="1" x14ac:dyDescent="0.25">
      <c r="A301" s="12" t="str">
        <f ca="1">IF(F301+G301+H301+I301+J301+D301+E301=3,IF(Tabelle2[[#This Row],[Kappe Weiß]]=Limits!$R$29,1,""),"")</f>
        <v/>
      </c>
      <c r="B301" s="12" t="str">
        <f ca="1">IF(G301+H301+I301+J301+E301+F301=2,IF(Tabelle2[[#This Row],[Kappe Weiß]]=Limits!$R$29,1,""),"")</f>
        <v/>
      </c>
      <c r="C301" s="291">
        <v>1</v>
      </c>
      <c r="D301" s="171">
        <f>IF(Limits!$P$9=TRUE,1,0)</f>
        <v>0</v>
      </c>
      <c r="E301" s="172">
        <f>IF(Daten!$P301+Daten!$Q301+Daten!$S301=3,1,0)</f>
        <v>0</v>
      </c>
      <c r="F301" s="173">
        <f ca="1">IF(AND(Limits!$Q$21=TRUE,Daten!O301=1)=TRUE,1,0)</f>
        <v>0</v>
      </c>
      <c r="G301" s="174">
        <f>IF(AND(Limits!$Q$25=TRUE,Daten!N301=1)=TRUE,1,0)</f>
        <v>0</v>
      </c>
      <c r="H301" s="174">
        <f>IF(AND(Limits!$Q$24=TRUE,Daten!M301=1)=TRUE,1,0)</f>
        <v>0</v>
      </c>
      <c r="I301" s="174">
        <f>IF(AND(Limits!$Q$23=TRUE,Daten!L301=1)=TRUE,1,0)</f>
        <v>0</v>
      </c>
      <c r="J301" s="174">
        <f>IF(AND(Limits!$Q$22=TRUE,Daten!K301=1)=TRUE,1,0)</f>
        <v>0</v>
      </c>
      <c r="K301" s="188">
        <f>IF(Daten!$V301=13,1,0)</f>
        <v>0</v>
      </c>
      <c r="L301" s="189">
        <f>IF(Daten!$V301&lt;&gt;Daten!$W301,1,IF(Daten!$V301=14,1,0))</f>
        <v>0</v>
      </c>
      <c r="M301" s="189">
        <f>IF(Daten!$V301&lt;&gt;Daten!$W301,1,IF(Daten!$V301=16,1,0))</f>
        <v>1</v>
      </c>
      <c r="N301" s="189">
        <f>IF(Daten!$W301=17,1,0)</f>
        <v>0</v>
      </c>
      <c r="O301" s="190">
        <f ca="1">IF(Daten!$X301=Sprache!$A$70,1,0)</f>
        <v>0</v>
      </c>
      <c r="P301" s="191">
        <f>IF(AND(Daten!$AQ301&lt;=KINVARO!$AW$3,Daten!$AR301&gt;=KINVARO!$AW$3)=TRUE,1,0)</f>
        <v>1</v>
      </c>
      <c r="Q301" s="192">
        <f>IF(AND(Daten!$AA301&lt;=KINVARO!$AW$4,Daten!$AB301&gt;=KINVARO!$AW$4)=TRUE,1,0)</f>
        <v>0</v>
      </c>
      <c r="R301" s="192"/>
      <c r="S301" s="192">
        <f>IF(AND(Daten!$AD301&lt;=Limits!$I$70,Daten!$AE301&gt;=Limits!$I$70)=TRUE,1,0)</f>
        <v>0</v>
      </c>
      <c r="T301" s="193">
        <f ca="1">IF(Daten!$Y301=Sprache!$A$135,1,0)</f>
        <v>0</v>
      </c>
      <c r="U301" s="124" t="str">
        <f ca="1">Sprache!$A$65</f>
        <v>T-75 Поворотный подъемник</v>
      </c>
      <c r="V301" s="194">
        <v>16</v>
      </c>
      <c r="W301" s="193">
        <v>16</v>
      </c>
      <c r="X301" s="187" t="str">
        <f ca="1">Sprache!$A$141</f>
        <v>Alu</v>
      </c>
      <c r="Y301" s="187" t="str">
        <f ca="1">Sprache!$A$136</f>
        <v>nein</v>
      </c>
      <c r="Z301" s="187" t="str">
        <f ca="1">Sprache!$A$79</f>
        <v>Створка</v>
      </c>
      <c r="AA301" s="187">
        <v>450</v>
      </c>
      <c r="AB301" s="124">
        <v>499</v>
      </c>
      <c r="AC301" s="187"/>
      <c r="AD301" s="195">
        <v>6.7</v>
      </c>
      <c r="AE301" s="196">
        <v>9.6</v>
      </c>
      <c r="AF301" s="263" t="str">
        <f>MID(Tabelle2[[#This Row],[bnr full]],1,4)</f>
        <v>F151</v>
      </c>
      <c r="AG301" s="264" t="str">
        <f>MID(Tabelle2[[#This Row],[bnr full]],5,3)</f>
        <v>147</v>
      </c>
      <c r="AH301" s="265" t="str">
        <f>MID(Tabelle2[[#This Row],[bnr full]],8,3)</f>
        <v>815</v>
      </c>
      <c r="AI301" s="264" t="str">
        <f>MID(Tabelle2[[#This Row],[bnr full]],11,3)</f>
        <v>201</v>
      </c>
      <c r="AJ301" s="252" t="str">
        <f>MID(Tabelle2[[#This Row],[bnr full]],11,3)</f>
        <v>201</v>
      </c>
      <c r="AK301" s="197" t="s">
        <v>1659</v>
      </c>
      <c r="AL301" s="124" t="str">
        <f ca="1">Sprache!$A$111</f>
        <v>Комплект (Л + П)</v>
      </c>
      <c r="AM301" s="187" t="s">
        <v>25</v>
      </c>
      <c r="AN301" s="187" t="str">
        <f ca="1">Sprache!$A$125</f>
        <v>Пружина, стандарт</v>
      </c>
      <c r="AO301" s="187" t="s">
        <v>25</v>
      </c>
      <c r="AP301" s="187" t="s">
        <v>25</v>
      </c>
      <c r="AQ301" s="187">
        <f>Limits!$K$9</f>
        <v>200</v>
      </c>
      <c r="AR301" s="124">
        <v>1200</v>
      </c>
      <c r="AS301" s="187"/>
      <c r="AT301" s="124"/>
      <c r="AU301"/>
      <c r="AV301"/>
      <c r="AY301"/>
      <c r="AZ301"/>
      <c r="BA301"/>
      <c r="BB301"/>
      <c r="BC301"/>
    </row>
    <row r="302" spans="1:55" hidden="1" x14ac:dyDescent="0.25">
      <c r="A302" s="12" t="str">
        <f ca="1">IF(F302+G302+H302+I302+J302+D302+E302=3,IF(Tabelle2[[#This Row],[Kappe Weiß]]=Limits!$R$29,1,""),"")</f>
        <v/>
      </c>
      <c r="B302" s="12" t="str">
        <f ca="1">IF(G302+H302+I302+J302+E302+F302=2,IF(Tabelle2[[#This Row],[Kappe Weiß]]=Limits!$R$29,1,""),"")</f>
        <v/>
      </c>
      <c r="C302" s="291">
        <v>1</v>
      </c>
      <c r="D302" s="171">
        <f>IF(Limits!$P$9=TRUE,1,0)</f>
        <v>0</v>
      </c>
      <c r="E302" s="172">
        <f>IF(Daten!$P302+Daten!$Q302+Daten!$S302=3,1,0)</f>
        <v>0</v>
      </c>
      <c r="F302" s="173">
        <f ca="1">IF(AND(Limits!$Q$21=TRUE,Daten!O302=1)=TRUE,1,0)</f>
        <v>0</v>
      </c>
      <c r="G302" s="174">
        <f>IF(AND(Limits!$Q$25=TRUE,Daten!N302=1)=TRUE,1,0)</f>
        <v>0</v>
      </c>
      <c r="H302" s="174">
        <f>IF(AND(Limits!$Q$24=TRUE,Daten!M302=1)=TRUE,1,0)</f>
        <v>0</v>
      </c>
      <c r="I302" s="174">
        <f>IF(AND(Limits!$Q$23=TRUE,Daten!L302=1)=TRUE,1,0)</f>
        <v>0</v>
      </c>
      <c r="J302" s="174">
        <f>IF(AND(Limits!$Q$22=TRUE,Daten!K302=1)=TRUE,1,0)</f>
        <v>0</v>
      </c>
      <c r="K302" s="188">
        <f>IF(Daten!$V302=13,1,0)</f>
        <v>0</v>
      </c>
      <c r="L302" s="189">
        <f>IF(Daten!$V302&lt;&gt;Daten!$W302,1,IF(Daten!$V302=14,1,0))</f>
        <v>0</v>
      </c>
      <c r="M302" s="189">
        <f>IF(Daten!$V302&lt;&gt;Daten!$W302,1,IF(Daten!$V302=16,1,0))</f>
        <v>0</v>
      </c>
      <c r="N302" s="189">
        <f>IF(Daten!$W302=17,1,0)</f>
        <v>1</v>
      </c>
      <c r="O302" s="190">
        <f ca="1">IF(Daten!$X302=Sprache!$A$70,1,0)</f>
        <v>0</v>
      </c>
      <c r="P302" s="191">
        <f>IF(AND(Daten!$AQ302&lt;=KINVARO!$AW$3,Daten!$AR302&gt;=KINVARO!$AW$3)=TRUE,1,0)</f>
        <v>1</v>
      </c>
      <c r="Q302" s="192">
        <f>IF(AND(Daten!$AA302&lt;=KINVARO!$AW$4,Daten!$AB302&gt;=KINVARO!$AW$4)=TRUE,1,0)</f>
        <v>0</v>
      </c>
      <c r="R302" s="192"/>
      <c r="S302" s="192">
        <f>IF(AND(Daten!$AD302&lt;=Limits!$I$70,Daten!$AE302&gt;=Limits!$I$70)=TRUE,1,0)</f>
        <v>0</v>
      </c>
      <c r="T302" s="193">
        <f ca="1">IF(Daten!$Y302=Sprache!$A$135,1,0)</f>
        <v>0</v>
      </c>
      <c r="U302" s="124" t="str">
        <f ca="1">Sprache!$A$65</f>
        <v>T-75 Поворотный подъемник</v>
      </c>
      <c r="V302" s="194">
        <v>17</v>
      </c>
      <c r="W302" s="193">
        <v>17</v>
      </c>
      <c r="X302" s="187" t="str">
        <f ca="1">Sprache!$A$141</f>
        <v>Alu</v>
      </c>
      <c r="Y302" s="187" t="str">
        <f ca="1">Sprache!$A$136</f>
        <v>nein</v>
      </c>
      <c r="Z302" s="187" t="str">
        <f ca="1">Sprache!$A$79</f>
        <v>Створка</v>
      </c>
      <c r="AA302" s="187">
        <v>450</v>
      </c>
      <c r="AB302" s="124">
        <v>499</v>
      </c>
      <c r="AC302" s="187"/>
      <c r="AD302" s="195">
        <v>6.7</v>
      </c>
      <c r="AE302" s="196">
        <v>9.6</v>
      </c>
      <c r="AF302" s="263" t="str">
        <f>MID(Tabelle2[[#This Row],[bnr full]],1,4)</f>
        <v>F151</v>
      </c>
      <c r="AG302" s="264" t="str">
        <f>MID(Tabelle2[[#This Row],[bnr full]],5,3)</f>
        <v>147</v>
      </c>
      <c r="AH302" s="265" t="str">
        <f>MID(Tabelle2[[#This Row],[bnr full]],8,3)</f>
        <v>816</v>
      </c>
      <c r="AI302" s="264" t="str">
        <f>MID(Tabelle2[[#This Row],[bnr full]],11,3)</f>
        <v>201</v>
      </c>
      <c r="AJ302" s="252" t="str">
        <f>MID(Tabelle2[[#This Row],[bnr full]],11,3)</f>
        <v>201</v>
      </c>
      <c r="AK302" s="197" t="s">
        <v>1660</v>
      </c>
      <c r="AL302" s="124" t="str">
        <f ca="1">Sprache!$A$111</f>
        <v>Комплект (Л + П)</v>
      </c>
      <c r="AM302" s="187" t="s">
        <v>25</v>
      </c>
      <c r="AN302" s="187" t="str">
        <f ca="1">Sprache!$A$125</f>
        <v>Пружина, стандарт</v>
      </c>
      <c r="AO302" s="187" t="s">
        <v>25</v>
      </c>
      <c r="AP302" s="187" t="s">
        <v>25</v>
      </c>
      <c r="AQ302" s="187">
        <f>Limits!$K$9</f>
        <v>200</v>
      </c>
      <c r="AR302" s="124">
        <v>1200</v>
      </c>
      <c r="AS302" s="187"/>
      <c r="AT302" s="124"/>
      <c r="AU302"/>
      <c r="AV302"/>
      <c r="AY302"/>
      <c r="AZ302"/>
      <c r="BA302"/>
      <c r="BB302"/>
      <c r="BC302"/>
    </row>
    <row r="303" spans="1:55" hidden="1" x14ac:dyDescent="0.25">
      <c r="A303" s="12" t="str">
        <f ca="1">IF(F303+G303+H303+I303+J303+D303+E303=3,IF(Tabelle2[[#This Row],[Kappe Weiß]]=Limits!$R$29,1,""),"")</f>
        <v/>
      </c>
      <c r="B303" s="12" t="str">
        <f ca="1">IF(G303+H303+I303+J303+E303+F303=2,IF(Tabelle2[[#This Row],[Kappe Weiß]]=Limits!$R$29,1,""),"")</f>
        <v/>
      </c>
      <c r="C303" s="292">
        <v>1</v>
      </c>
      <c r="D303" s="171">
        <f>IF(Limits!$P$9=TRUE,1,0)</f>
        <v>0</v>
      </c>
      <c r="E303" s="172">
        <f>IF(Daten!$P303+Daten!$Q303+Daten!$S303=3,1,0)</f>
        <v>0</v>
      </c>
      <c r="F303" s="173">
        <f ca="1">IF(AND(Limits!$Q$21=TRUE,Daten!O303=1)=TRUE,1,0)</f>
        <v>1</v>
      </c>
      <c r="G303" s="174">
        <f ca="1">IF(AND(Limits!$Q$25=TRUE,Daten!N303=1)=TRUE,1,0)</f>
        <v>0</v>
      </c>
      <c r="H303" s="174">
        <f ca="1">IF(AND(Limits!$Q$24=TRUE,Daten!M303=1)=TRUE,1,0)</f>
        <v>0</v>
      </c>
      <c r="I303" s="174">
        <f ca="1">IF(AND(Limits!$Q$23=TRUE,Daten!L303=1)=TRUE,1,0)</f>
        <v>0</v>
      </c>
      <c r="J303" s="174">
        <f ca="1">IF(AND(Limits!$Q$22=TRUE,Daten!K303=1)=TRUE,1,0)</f>
        <v>0</v>
      </c>
      <c r="K303" s="188">
        <f ca="1">IF(Daten!$V303=13,1,0)</f>
        <v>0</v>
      </c>
      <c r="L303" s="189">
        <f ca="1">IF(Daten!$V303&lt;&gt;Daten!$W303,1,IF(Daten!$V303=14,1,0))</f>
        <v>0</v>
      </c>
      <c r="M303" s="189">
        <f ca="1">IF(Daten!$V303&lt;&gt;Daten!$W303,1,IF(Daten!$V303=16,1,0))</f>
        <v>0</v>
      </c>
      <c r="N303" s="189">
        <f ca="1">IF(Daten!$W303=17,1,0)</f>
        <v>0</v>
      </c>
      <c r="O303" s="190">
        <f ca="1">IF(Daten!$X303=Sprache!$A$70,1,0)</f>
        <v>1</v>
      </c>
      <c r="P303" s="198">
        <f>IF(AND(Daten!$AQ303&lt;=KINVARO!$AW$3,Daten!$AR303&gt;=KINVARO!$AW$3)=TRUE,1,0)</f>
        <v>1</v>
      </c>
      <c r="Q303" s="199">
        <f>IF(AND(Daten!$AA303&lt;=KINVARO!$AW$4,Daten!$AB303&gt;=KINVARO!$AW$4)=TRUE,1,0)</f>
        <v>0</v>
      </c>
      <c r="R303" s="199"/>
      <c r="S303" s="199">
        <f>IF(AND(Daten!$AD303&lt;=Limits!$I$70,Daten!$AE303&gt;=Limits!$I$70)=TRUE,1,0)</f>
        <v>0</v>
      </c>
      <c r="T303" s="200">
        <f ca="1">IF(Daten!$Y303=Sprache!$A$135,1,0)</f>
        <v>0</v>
      </c>
      <c r="U303" s="201" t="str">
        <f ca="1">Sprache!$A$65</f>
        <v>T-75 Поворотный подъемник</v>
      </c>
      <c r="V303" s="202" t="str">
        <f ca="1">Sprache!$A$74</f>
        <v>var</v>
      </c>
      <c r="W303" s="200" t="str">
        <f ca="1">Sprache!$A$74</f>
        <v>var</v>
      </c>
      <c r="X303" s="203" t="str">
        <f ca="1">Sprache!$A$70</f>
        <v>соединение с древесиной</v>
      </c>
      <c r="Y303" s="187" t="str">
        <f ca="1">Sprache!$A$136</f>
        <v>nein</v>
      </c>
      <c r="Z303" s="203" t="str">
        <f ca="1">Sprache!$A$79</f>
        <v>Створка</v>
      </c>
      <c r="AA303" s="203">
        <v>500</v>
      </c>
      <c r="AB303" s="201">
        <v>549</v>
      </c>
      <c r="AC303" s="203"/>
      <c r="AD303" s="204">
        <v>5.8</v>
      </c>
      <c r="AE303" s="205">
        <v>8.5</v>
      </c>
      <c r="AF303" s="266" t="str">
        <f>MID(Tabelle2[[#This Row],[bnr full]],1,4)</f>
        <v>F151</v>
      </c>
      <c r="AG303" s="267" t="str">
        <f>MID(Tabelle2[[#This Row],[bnr full]],5,3)</f>
        <v>147</v>
      </c>
      <c r="AH303" s="268" t="str">
        <f>MID(Tabelle2[[#This Row],[bnr full]],8,3)</f>
        <v>700</v>
      </c>
      <c r="AI303" s="267" t="str">
        <f>MID(Tabelle2[[#This Row],[bnr full]],11,3)</f>
        <v>201</v>
      </c>
      <c r="AJ303" s="253" t="str">
        <f>MID(Tabelle2[[#This Row],[bnr full]],11,3)</f>
        <v>201</v>
      </c>
      <c r="AK303" s="206" t="s">
        <v>1656</v>
      </c>
      <c r="AL303" s="201" t="str">
        <f ca="1">Sprache!$A$111</f>
        <v>Комплект (Л + П)</v>
      </c>
      <c r="AM303" s="203" t="s">
        <v>25</v>
      </c>
      <c r="AN303" s="203" t="str">
        <f ca="1">Sprache!$A$125</f>
        <v>Пружина, стандарт</v>
      </c>
      <c r="AO303" s="187" t="s">
        <v>25</v>
      </c>
      <c r="AP303" s="187" t="s">
        <v>25</v>
      </c>
      <c r="AQ303" s="203">
        <f>Limits!$K$9</f>
        <v>200</v>
      </c>
      <c r="AR303" s="201">
        <v>1200</v>
      </c>
      <c r="AS303" s="187"/>
      <c r="AT303" s="124"/>
      <c r="AU303"/>
      <c r="AV303"/>
      <c r="AY303"/>
      <c r="AZ303"/>
      <c r="BA303"/>
      <c r="BB303"/>
      <c r="BC303"/>
    </row>
    <row r="304" spans="1:55" hidden="1" x14ac:dyDescent="0.25">
      <c r="A304" s="12" t="str">
        <f ca="1">IF(F304+G304+H304+I304+J304+D304+E304=3,IF(Tabelle2[[#This Row],[Kappe Weiß]]=Limits!$R$29,1,""),"")</f>
        <v/>
      </c>
      <c r="B304" s="12" t="str">
        <f ca="1">IF(G304+H304+I304+J304+E304+F304=2,IF(Tabelle2[[#This Row],[Kappe Weiß]]=Limits!$R$29,1,""),"")</f>
        <v/>
      </c>
      <c r="C304" s="291">
        <v>1</v>
      </c>
      <c r="D304" s="171">
        <f>IF(Limits!$P$9=TRUE,1,0)</f>
        <v>0</v>
      </c>
      <c r="E304" s="172">
        <f>IF(Daten!$P304+Daten!$Q304+Daten!$S304=3,1,0)</f>
        <v>0</v>
      </c>
      <c r="F304" s="173">
        <f ca="1">IF(AND(Limits!$Q$21=TRUE,Daten!O304=1)=TRUE,1,0)</f>
        <v>0</v>
      </c>
      <c r="G304" s="174">
        <f>IF(AND(Limits!$Q$25=TRUE,Daten!N304=1)=TRUE,1,0)</f>
        <v>0</v>
      </c>
      <c r="H304" s="174">
        <f>IF(AND(Limits!$Q$24=TRUE,Daten!M304=1)=TRUE,1,0)</f>
        <v>0</v>
      </c>
      <c r="I304" s="174">
        <f>IF(AND(Limits!$Q$23=TRUE,Daten!L304=1)=TRUE,1,0)</f>
        <v>0</v>
      </c>
      <c r="J304" s="174">
        <f>IF(AND(Limits!$Q$22=TRUE,Daten!K304=1)=TRUE,1,0)</f>
        <v>0</v>
      </c>
      <c r="K304" s="188">
        <f>IF(Daten!$V304=13,1,0)</f>
        <v>1</v>
      </c>
      <c r="L304" s="189">
        <f>IF(Daten!$V304&lt;&gt;Daten!$W304,1,IF(Daten!$V304=14,1,0))</f>
        <v>0</v>
      </c>
      <c r="M304" s="189">
        <f>IF(Daten!$V304&lt;&gt;Daten!$W304,1,IF(Daten!$V304=16,1,0))</f>
        <v>0</v>
      </c>
      <c r="N304" s="189">
        <f>IF(Daten!$W304=17,1,0)</f>
        <v>0</v>
      </c>
      <c r="O304" s="190">
        <f ca="1">IF(Daten!$X304=Sprache!$A$70,1,0)</f>
        <v>0</v>
      </c>
      <c r="P304" s="191">
        <f>IF(AND(Daten!$AQ304&lt;=KINVARO!$AW$3,Daten!$AR304&gt;=KINVARO!$AW$3)=TRUE,1,0)</f>
        <v>1</v>
      </c>
      <c r="Q304" s="192">
        <f>IF(AND(Daten!$AA304&lt;=KINVARO!$AW$4,Daten!$AB304&gt;=KINVARO!$AW$4)=TRUE,1,0)</f>
        <v>0</v>
      </c>
      <c r="R304" s="192"/>
      <c r="S304" s="192">
        <f>IF(AND(Daten!$AD304&lt;=Limits!$I$70,Daten!$AE304&gt;=Limits!$I$70)=TRUE,1,0)</f>
        <v>0</v>
      </c>
      <c r="T304" s="193">
        <f ca="1">IF(Daten!$Y304=Sprache!$A$135,1,0)</f>
        <v>0</v>
      </c>
      <c r="U304" s="124" t="str">
        <f ca="1">Sprache!$A$65</f>
        <v>T-75 Поворотный подъемник</v>
      </c>
      <c r="V304" s="194">
        <v>13</v>
      </c>
      <c r="W304" s="193">
        <v>13</v>
      </c>
      <c r="X304" s="187" t="str">
        <f ca="1">Sprache!$A$141</f>
        <v>Alu</v>
      </c>
      <c r="Y304" s="187" t="str">
        <f ca="1">Sprache!$A$136</f>
        <v>nein</v>
      </c>
      <c r="Z304" s="187" t="str">
        <f ca="1">Sprache!$A$79</f>
        <v>Створка</v>
      </c>
      <c r="AA304" s="187">
        <v>500</v>
      </c>
      <c r="AB304" s="124">
        <v>549</v>
      </c>
      <c r="AC304" s="187"/>
      <c r="AD304" s="195">
        <v>5.8</v>
      </c>
      <c r="AE304" s="196">
        <v>8.5</v>
      </c>
      <c r="AF304" s="263" t="str">
        <f>MID(Tabelle2[[#This Row],[bnr full]],1,4)</f>
        <v>F151</v>
      </c>
      <c r="AG304" s="264" t="str">
        <f>MID(Tabelle2[[#This Row],[bnr full]],5,3)</f>
        <v>147</v>
      </c>
      <c r="AH304" s="265" t="str">
        <f>MID(Tabelle2[[#This Row],[bnr full]],8,3)</f>
        <v>813</v>
      </c>
      <c r="AI304" s="264" t="str">
        <f>MID(Tabelle2[[#This Row],[bnr full]],11,3)</f>
        <v>201</v>
      </c>
      <c r="AJ304" s="252" t="str">
        <f>MID(Tabelle2[[#This Row],[bnr full]],11,3)</f>
        <v>201</v>
      </c>
      <c r="AK304" s="197" t="s">
        <v>1657</v>
      </c>
      <c r="AL304" s="124" t="str">
        <f ca="1">Sprache!$A$111</f>
        <v>Комплект (Л + П)</v>
      </c>
      <c r="AM304" s="187" t="s">
        <v>25</v>
      </c>
      <c r="AN304" s="187" t="str">
        <f ca="1">Sprache!$A$125</f>
        <v>Пружина, стандарт</v>
      </c>
      <c r="AO304" s="187" t="s">
        <v>25</v>
      </c>
      <c r="AP304" s="187" t="s">
        <v>25</v>
      </c>
      <c r="AQ304" s="187">
        <f>Limits!$K$9</f>
        <v>200</v>
      </c>
      <c r="AR304" s="124">
        <v>1200</v>
      </c>
      <c r="AS304" s="187"/>
      <c r="AT304" s="124"/>
      <c r="AU304"/>
      <c r="AV304"/>
      <c r="AY304"/>
      <c r="AZ304"/>
      <c r="BA304"/>
      <c r="BB304"/>
      <c r="BC304"/>
    </row>
    <row r="305" spans="1:55" hidden="1" x14ac:dyDescent="0.25">
      <c r="A305" s="12" t="str">
        <f ca="1">IF(F305+G305+H305+I305+J305+D305+E305=3,IF(Tabelle2[[#This Row],[Kappe Weiß]]=Limits!$R$29,1,""),"")</f>
        <v/>
      </c>
      <c r="B305" s="12" t="str">
        <f ca="1">IF(G305+H305+I305+J305+E305+F305=2,IF(Tabelle2[[#This Row],[Kappe Weiß]]=Limits!$R$29,1,""),"")</f>
        <v/>
      </c>
      <c r="C305" s="291">
        <v>1</v>
      </c>
      <c r="D305" s="171">
        <f>IF(Limits!$P$9=TRUE,1,0)</f>
        <v>0</v>
      </c>
      <c r="E305" s="172">
        <f>IF(Daten!$P305+Daten!$Q305+Daten!$S305=3,1,0)</f>
        <v>0</v>
      </c>
      <c r="F305" s="173">
        <f ca="1">IF(AND(Limits!$Q$21=TRUE,Daten!O305=1)=TRUE,1,0)</f>
        <v>0</v>
      </c>
      <c r="G305" s="174">
        <f>IF(AND(Limits!$Q$25=TRUE,Daten!N305=1)=TRUE,1,0)</f>
        <v>0</v>
      </c>
      <c r="H305" s="174">
        <f>IF(AND(Limits!$Q$24=TRUE,Daten!M305=1)=TRUE,1,0)</f>
        <v>0</v>
      </c>
      <c r="I305" s="174">
        <f>IF(AND(Limits!$Q$23=TRUE,Daten!L305=1)=TRUE,1,0)</f>
        <v>0</v>
      </c>
      <c r="J305" s="174">
        <f>IF(AND(Limits!$Q$22=TRUE,Daten!K305=1)=TRUE,1,0)</f>
        <v>0</v>
      </c>
      <c r="K305" s="188">
        <f>IF(Daten!$V305=13,1,0)</f>
        <v>0</v>
      </c>
      <c r="L305" s="189">
        <f>IF(Daten!$V305&lt;&gt;Daten!$W305,1,IF(Daten!$V305=14,1,0))</f>
        <v>1</v>
      </c>
      <c r="M305" s="189">
        <f>IF(Daten!$V305&lt;&gt;Daten!$W305,1,IF(Daten!$V305=16,1,0))</f>
        <v>0</v>
      </c>
      <c r="N305" s="189">
        <f>IF(Daten!$W305=17,1,0)</f>
        <v>0</v>
      </c>
      <c r="O305" s="190">
        <f ca="1">IF(Daten!$X305=Sprache!$A$70,1,0)</f>
        <v>0</v>
      </c>
      <c r="P305" s="191">
        <f>IF(AND(Daten!$AQ305&lt;=KINVARO!$AW$3,Daten!$AR305&gt;=KINVARO!$AW$3)=TRUE,1,0)</f>
        <v>1</v>
      </c>
      <c r="Q305" s="192">
        <f>IF(AND(Daten!$AA305&lt;=KINVARO!$AW$4,Daten!$AB305&gt;=KINVARO!$AW$4)=TRUE,1,0)</f>
        <v>0</v>
      </c>
      <c r="R305" s="192"/>
      <c r="S305" s="192">
        <f>IF(AND(Daten!$AD305&lt;=Limits!$I$70,Daten!$AE305&gt;=Limits!$I$70)=TRUE,1,0)</f>
        <v>0</v>
      </c>
      <c r="T305" s="193">
        <f ca="1">IF(Daten!$Y305=Sprache!$A$135,1,0)</f>
        <v>0</v>
      </c>
      <c r="U305" s="124" t="str">
        <f ca="1">Sprache!$A$65</f>
        <v>T-75 Поворотный подъемник</v>
      </c>
      <c r="V305" s="194">
        <v>14</v>
      </c>
      <c r="W305" s="193">
        <v>14</v>
      </c>
      <c r="X305" s="187" t="str">
        <f ca="1">Sprache!$A$141</f>
        <v>Alu</v>
      </c>
      <c r="Y305" s="187" t="str">
        <f ca="1">Sprache!$A$136</f>
        <v>nein</v>
      </c>
      <c r="Z305" s="187" t="str">
        <f ca="1">Sprache!$A$79</f>
        <v>Створка</v>
      </c>
      <c r="AA305" s="187">
        <v>500</v>
      </c>
      <c r="AB305" s="124">
        <v>549</v>
      </c>
      <c r="AC305" s="187"/>
      <c r="AD305" s="195">
        <v>5.8</v>
      </c>
      <c r="AE305" s="196">
        <v>8.5</v>
      </c>
      <c r="AF305" s="263" t="str">
        <f>MID(Tabelle2[[#This Row],[bnr full]],1,4)</f>
        <v>F151</v>
      </c>
      <c r="AG305" s="264" t="str">
        <f>MID(Tabelle2[[#This Row],[bnr full]],5,3)</f>
        <v>147</v>
      </c>
      <c r="AH305" s="265" t="str">
        <f>MID(Tabelle2[[#This Row],[bnr full]],8,3)</f>
        <v>814</v>
      </c>
      <c r="AI305" s="264" t="str">
        <f>MID(Tabelle2[[#This Row],[bnr full]],11,3)</f>
        <v>201</v>
      </c>
      <c r="AJ305" s="252" t="str">
        <f>MID(Tabelle2[[#This Row],[bnr full]],11,3)</f>
        <v>201</v>
      </c>
      <c r="AK305" s="197" t="s">
        <v>1658</v>
      </c>
      <c r="AL305" s="124" t="str">
        <f ca="1">Sprache!$A$111</f>
        <v>Комплект (Л + П)</v>
      </c>
      <c r="AM305" s="187" t="s">
        <v>25</v>
      </c>
      <c r="AN305" s="187" t="str">
        <f ca="1">Sprache!$A$125</f>
        <v>Пружина, стандарт</v>
      </c>
      <c r="AO305" s="187" t="s">
        <v>25</v>
      </c>
      <c r="AP305" s="187" t="s">
        <v>25</v>
      </c>
      <c r="AQ305" s="187">
        <f>Limits!$K$9</f>
        <v>200</v>
      </c>
      <c r="AR305" s="124">
        <v>1200</v>
      </c>
      <c r="AS305" s="187"/>
      <c r="AT305" s="124"/>
      <c r="AU305"/>
      <c r="AV305"/>
      <c r="AY305"/>
      <c r="AZ305"/>
      <c r="BA305"/>
      <c r="BB305"/>
      <c r="BC305"/>
    </row>
    <row r="306" spans="1:55" hidden="1" x14ac:dyDescent="0.25">
      <c r="A306" s="12" t="str">
        <f ca="1">IF(F306+G306+H306+I306+J306+D306+E306=3,IF(Tabelle2[[#This Row],[Kappe Weiß]]=Limits!$R$29,1,""),"")</f>
        <v/>
      </c>
      <c r="B306" s="12" t="str">
        <f ca="1">IF(G306+H306+I306+J306+E306+F306=2,IF(Tabelle2[[#This Row],[Kappe Weiß]]=Limits!$R$29,1,""),"")</f>
        <v/>
      </c>
      <c r="C306" s="291">
        <v>1</v>
      </c>
      <c r="D306" s="171">
        <f>IF(Limits!$P$9=TRUE,1,0)</f>
        <v>0</v>
      </c>
      <c r="E306" s="172">
        <f>IF(Daten!$P306+Daten!$Q306+Daten!$S306=3,1,0)</f>
        <v>0</v>
      </c>
      <c r="F306" s="173">
        <f ca="1">IF(AND(Limits!$Q$21=TRUE,Daten!O306=1)=TRUE,1,0)</f>
        <v>0</v>
      </c>
      <c r="G306" s="174">
        <f>IF(AND(Limits!$Q$25=TRUE,Daten!N306=1)=TRUE,1,0)</f>
        <v>0</v>
      </c>
      <c r="H306" s="174">
        <f>IF(AND(Limits!$Q$24=TRUE,Daten!M306=1)=TRUE,1,0)</f>
        <v>0</v>
      </c>
      <c r="I306" s="174">
        <f>IF(AND(Limits!$Q$23=TRUE,Daten!L306=1)=TRUE,1,0)</f>
        <v>0</v>
      </c>
      <c r="J306" s="174">
        <f>IF(AND(Limits!$Q$22=TRUE,Daten!K306=1)=TRUE,1,0)</f>
        <v>0</v>
      </c>
      <c r="K306" s="188">
        <f>IF(Daten!$V306=13,1,0)</f>
        <v>0</v>
      </c>
      <c r="L306" s="189">
        <f>IF(Daten!$V306&lt;&gt;Daten!$W306,1,IF(Daten!$V306=14,1,0))</f>
        <v>0</v>
      </c>
      <c r="M306" s="189">
        <f>IF(Daten!$V306&lt;&gt;Daten!$W306,1,IF(Daten!$V306=16,1,0))</f>
        <v>1</v>
      </c>
      <c r="N306" s="189">
        <f>IF(Daten!$W306=17,1,0)</f>
        <v>0</v>
      </c>
      <c r="O306" s="190">
        <f ca="1">IF(Daten!$X306=Sprache!$A$70,1,0)</f>
        <v>0</v>
      </c>
      <c r="P306" s="191">
        <f>IF(AND(Daten!$AQ306&lt;=KINVARO!$AW$3,Daten!$AR306&gt;=KINVARO!$AW$3)=TRUE,1,0)</f>
        <v>1</v>
      </c>
      <c r="Q306" s="192">
        <f>IF(AND(Daten!$AA306&lt;=KINVARO!$AW$4,Daten!$AB306&gt;=KINVARO!$AW$4)=TRUE,1,0)</f>
        <v>0</v>
      </c>
      <c r="R306" s="192"/>
      <c r="S306" s="192">
        <f>IF(AND(Daten!$AD306&lt;=Limits!$I$70,Daten!$AE306&gt;=Limits!$I$70)=TRUE,1,0)</f>
        <v>0</v>
      </c>
      <c r="T306" s="193">
        <f ca="1">IF(Daten!$Y306=Sprache!$A$135,1,0)</f>
        <v>0</v>
      </c>
      <c r="U306" s="124" t="str">
        <f ca="1">Sprache!$A$65</f>
        <v>T-75 Поворотный подъемник</v>
      </c>
      <c r="V306" s="194">
        <v>16</v>
      </c>
      <c r="W306" s="193">
        <v>16</v>
      </c>
      <c r="X306" s="187" t="str">
        <f ca="1">Sprache!$A$141</f>
        <v>Alu</v>
      </c>
      <c r="Y306" s="187" t="str">
        <f ca="1">Sprache!$A$136</f>
        <v>nein</v>
      </c>
      <c r="Z306" s="187" t="str">
        <f ca="1">Sprache!$A$79</f>
        <v>Створка</v>
      </c>
      <c r="AA306" s="187">
        <v>500</v>
      </c>
      <c r="AB306" s="124">
        <v>549</v>
      </c>
      <c r="AC306" s="187"/>
      <c r="AD306" s="195">
        <v>5.8</v>
      </c>
      <c r="AE306" s="196">
        <v>8.5</v>
      </c>
      <c r="AF306" s="263" t="str">
        <f>MID(Tabelle2[[#This Row],[bnr full]],1,4)</f>
        <v>F151</v>
      </c>
      <c r="AG306" s="264" t="str">
        <f>MID(Tabelle2[[#This Row],[bnr full]],5,3)</f>
        <v>147</v>
      </c>
      <c r="AH306" s="265" t="str">
        <f>MID(Tabelle2[[#This Row],[bnr full]],8,3)</f>
        <v>815</v>
      </c>
      <c r="AI306" s="264" t="str">
        <f>MID(Tabelle2[[#This Row],[bnr full]],11,3)</f>
        <v>201</v>
      </c>
      <c r="AJ306" s="252" t="str">
        <f>MID(Tabelle2[[#This Row],[bnr full]],11,3)</f>
        <v>201</v>
      </c>
      <c r="AK306" s="197" t="s">
        <v>1659</v>
      </c>
      <c r="AL306" s="124" t="str">
        <f ca="1">Sprache!$A$111</f>
        <v>Комплект (Л + П)</v>
      </c>
      <c r="AM306" s="187" t="s">
        <v>25</v>
      </c>
      <c r="AN306" s="187" t="str">
        <f ca="1">Sprache!$A$125</f>
        <v>Пружина, стандарт</v>
      </c>
      <c r="AO306" s="187" t="s">
        <v>25</v>
      </c>
      <c r="AP306" s="187" t="s">
        <v>25</v>
      </c>
      <c r="AQ306" s="187">
        <f>Limits!$K$9</f>
        <v>200</v>
      </c>
      <c r="AR306" s="124">
        <v>1200</v>
      </c>
      <c r="AS306" s="187"/>
      <c r="AT306" s="124"/>
      <c r="AU306"/>
      <c r="AV306"/>
      <c r="AY306"/>
      <c r="AZ306"/>
      <c r="BA306"/>
      <c r="BB306"/>
      <c r="BC306"/>
    </row>
    <row r="307" spans="1:55" s="5" customFormat="1" hidden="1" x14ac:dyDescent="0.25">
      <c r="A307" s="12" t="str">
        <f ca="1">IF(F307+G307+H307+I307+J307+D307+E307=3,IF(Tabelle2[[#This Row],[Kappe Weiß]]=Limits!$R$29,1,""),"")</f>
        <v/>
      </c>
      <c r="B307" s="12" t="str">
        <f ca="1">IF(G307+H307+I307+J307+E307+F307=2,IF(Tabelle2[[#This Row],[Kappe Weiß]]=Limits!$R$29,1,""),"")</f>
        <v/>
      </c>
      <c r="C307" s="291">
        <v>1</v>
      </c>
      <c r="D307" s="171">
        <f>IF(Limits!$P$9=TRUE,1,0)</f>
        <v>0</v>
      </c>
      <c r="E307" s="172">
        <f>IF(Daten!$P307+Daten!$Q307+Daten!$S307=3,1,0)</f>
        <v>0</v>
      </c>
      <c r="F307" s="173">
        <f ca="1">IF(AND(Limits!$Q$21=TRUE,Daten!O307=1)=TRUE,1,0)</f>
        <v>0</v>
      </c>
      <c r="G307" s="174">
        <f>IF(AND(Limits!$Q$25=TRUE,Daten!N307=1)=TRUE,1,0)</f>
        <v>0</v>
      </c>
      <c r="H307" s="174">
        <f>IF(AND(Limits!$Q$24=TRUE,Daten!M307=1)=TRUE,1,0)</f>
        <v>0</v>
      </c>
      <c r="I307" s="174">
        <f>IF(AND(Limits!$Q$23=TRUE,Daten!L307=1)=TRUE,1,0)</f>
        <v>0</v>
      </c>
      <c r="J307" s="174">
        <f>IF(AND(Limits!$Q$22=TRUE,Daten!K307=1)=TRUE,1,0)</f>
        <v>0</v>
      </c>
      <c r="K307" s="188">
        <f>IF(Daten!$V307=13,1,0)</f>
        <v>0</v>
      </c>
      <c r="L307" s="189">
        <f>IF(Daten!$V307&lt;&gt;Daten!$W307,1,IF(Daten!$V307=14,1,0))</f>
        <v>0</v>
      </c>
      <c r="M307" s="189">
        <f>IF(Daten!$V307&lt;&gt;Daten!$W307,1,IF(Daten!$V307=16,1,0))</f>
        <v>0</v>
      </c>
      <c r="N307" s="189">
        <f>IF(Daten!$W307=17,1,0)</f>
        <v>1</v>
      </c>
      <c r="O307" s="190">
        <f ca="1">IF(Daten!$X307=Sprache!$A$70,1,0)</f>
        <v>0</v>
      </c>
      <c r="P307" s="191">
        <f>IF(AND(Daten!$AQ307&lt;=KINVARO!$AW$3,Daten!$AR307&gt;=KINVARO!$AW$3)=TRUE,1,0)</f>
        <v>1</v>
      </c>
      <c r="Q307" s="192">
        <f>IF(AND(Daten!$AA307&lt;=KINVARO!$AW$4,Daten!$AB307&gt;=KINVARO!$AW$4)=TRUE,1,0)</f>
        <v>0</v>
      </c>
      <c r="R307" s="192"/>
      <c r="S307" s="192">
        <f>IF(AND(Daten!$AD307&lt;=Limits!$I$70,Daten!$AE307&gt;=Limits!$I$70)=TRUE,1,0)</f>
        <v>0</v>
      </c>
      <c r="T307" s="193">
        <f ca="1">IF(Daten!$Y307=Sprache!$A$135,1,0)</f>
        <v>0</v>
      </c>
      <c r="U307" s="124" t="str">
        <f ca="1">Sprache!$A$65</f>
        <v>T-75 Поворотный подъемник</v>
      </c>
      <c r="V307" s="194">
        <v>17</v>
      </c>
      <c r="W307" s="193">
        <v>17</v>
      </c>
      <c r="X307" s="187" t="str">
        <f ca="1">Sprache!$A$141</f>
        <v>Alu</v>
      </c>
      <c r="Y307" s="187" t="str">
        <f ca="1">Sprache!$A$136</f>
        <v>nein</v>
      </c>
      <c r="Z307" s="187" t="str">
        <f ca="1">Sprache!$A$79</f>
        <v>Створка</v>
      </c>
      <c r="AA307" s="187">
        <v>500</v>
      </c>
      <c r="AB307" s="124">
        <v>549</v>
      </c>
      <c r="AC307" s="187"/>
      <c r="AD307" s="195">
        <v>5.8</v>
      </c>
      <c r="AE307" s="196">
        <v>8.5</v>
      </c>
      <c r="AF307" s="263" t="str">
        <f>MID(Tabelle2[[#This Row],[bnr full]],1,4)</f>
        <v>F151</v>
      </c>
      <c r="AG307" s="264" t="str">
        <f>MID(Tabelle2[[#This Row],[bnr full]],5,3)</f>
        <v>147</v>
      </c>
      <c r="AH307" s="265" t="str">
        <f>MID(Tabelle2[[#This Row],[bnr full]],8,3)</f>
        <v>816</v>
      </c>
      <c r="AI307" s="264" t="str">
        <f>MID(Tabelle2[[#This Row],[bnr full]],11,3)</f>
        <v>201</v>
      </c>
      <c r="AJ307" s="252" t="str">
        <f>MID(Tabelle2[[#This Row],[bnr full]],11,3)</f>
        <v>201</v>
      </c>
      <c r="AK307" s="197" t="s">
        <v>1660</v>
      </c>
      <c r="AL307" s="124" t="str">
        <f ca="1">Sprache!$A$111</f>
        <v>Комплект (Л + П)</v>
      </c>
      <c r="AM307" s="187" t="s">
        <v>25</v>
      </c>
      <c r="AN307" s="187" t="str">
        <f ca="1">Sprache!$A$125</f>
        <v>Пружина, стандарт</v>
      </c>
      <c r="AO307" s="187" t="s">
        <v>25</v>
      </c>
      <c r="AP307" s="187" t="s">
        <v>25</v>
      </c>
      <c r="AQ307" s="187">
        <f>Limits!$K$9</f>
        <v>200</v>
      </c>
      <c r="AR307" s="124">
        <v>1200</v>
      </c>
      <c r="AS307" s="187"/>
      <c r="AT307" s="124"/>
    </row>
    <row r="308" spans="1:55" hidden="1" x14ac:dyDescent="0.25">
      <c r="A308" s="12" t="str">
        <f ca="1">IF(F308+G308+H308+I308+J308+D308+E308=3,IF(Tabelle2[[#This Row],[Kappe Weiß]]=Limits!$R$29,1,""),"")</f>
        <v/>
      </c>
      <c r="B308" s="12" t="str">
        <f ca="1">IF(G308+H308+I308+J308+E308+F308=2,IF(Tabelle2[[#This Row],[Kappe Weiß]]=Limits!$R$29,1,""),"")</f>
        <v/>
      </c>
      <c r="C308" s="292">
        <v>1</v>
      </c>
      <c r="D308" s="171">
        <f>IF(Limits!$P$9=TRUE,1,0)</f>
        <v>0</v>
      </c>
      <c r="E308" s="172">
        <f>IF(Daten!$P308+Daten!$Q308+Daten!$S308=3,1,0)</f>
        <v>0</v>
      </c>
      <c r="F308" s="173">
        <f ca="1">IF(AND(Limits!$Q$21=TRUE,Daten!O308=1)=TRUE,1,0)</f>
        <v>1</v>
      </c>
      <c r="G308" s="174">
        <f ca="1">IF(AND(Limits!$Q$25=TRUE,Daten!N308=1)=TRUE,1,0)</f>
        <v>0</v>
      </c>
      <c r="H308" s="174">
        <f ca="1">IF(AND(Limits!$Q$24=TRUE,Daten!M308=1)=TRUE,1,0)</f>
        <v>0</v>
      </c>
      <c r="I308" s="174">
        <f ca="1">IF(AND(Limits!$Q$23=TRUE,Daten!L308=1)=TRUE,1,0)</f>
        <v>0</v>
      </c>
      <c r="J308" s="174">
        <f ca="1">IF(AND(Limits!$Q$22=TRUE,Daten!K308=1)=TRUE,1,0)</f>
        <v>0</v>
      </c>
      <c r="K308" s="188">
        <f ca="1">IF(Daten!$V308=13,1,0)</f>
        <v>0</v>
      </c>
      <c r="L308" s="189">
        <f ca="1">IF(Daten!$V308&lt;&gt;Daten!$W308,1,IF(Daten!$V308=14,1,0))</f>
        <v>0</v>
      </c>
      <c r="M308" s="189">
        <f ca="1">IF(Daten!$V308&lt;&gt;Daten!$W308,1,IF(Daten!$V308=16,1,0))</f>
        <v>0</v>
      </c>
      <c r="N308" s="189">
        <f ca="1">IF(Daten!$W308=17,1,0)</f>
        <v>0</v>
      </c>
      <c r="O308" s="190">
        <f ca="1">IF(Daten!$X308=Sprache!$A$70,1,0)</f>
        <v>1</v>
      </c>
      <c r="P308" s="198">
        <f>IF(AND(Daten!$AQ308&lt;=KINVARO!$AW$3,Daten!$AR308&gt;=KINVARO!$AW$3)=TRUE,1,0)</f>
        <v>1</v>
      </c>
      <c r="Q308" s="199">
        <f>IF(AND(Daten!$AA308&lt;=KINVARO!$AW$4,Daten!$AB308&gt;=KINVARO!$AW$4)=TRUE,1,0)</f>
        <v>0</v>
      </c>
      <c r="R308" s="199"/>
      <c r="S308" s="199">
        <f>IF(AND(Daten!$AD308&lt;=Limits!$I$70,Daten!$AE308&gt;=Limits!$I$70)=TRUE,1,0)</f>
        <v>0</v>
      </c>
      <c r="T308" s="200">
        <f ca="1">IF(Daten!$Y308=Sprache!$A$135,1,0)</f>
        <v>0</v>
      </c>
      <c r="U308" s="201" t="str">
        <f ca="1">Sprache!$A$65</f>
        <v>T-75 Поворотный подъемник</v>
      </c>
      <c r="V308" s="202" t="str">
        <f ca="1">Sprache!$A$74</f>
        <v>var</v>
      </c>
      <c r="W308" s="200" t="str">
        <f ca="1">Sprache!$A$74</f>
        <v>var</v>
      </c>
      <c r="X308" s="203" t="str">
        <f ca="1">Sprache!$A$70</f>
        <v>соединение с древесиной</v>
      </c>
      <c r="Y308" s="187" t="str">
        <f ca="1">Sprache!$A$136</f>
        <v>nein</v>
      </c>
      <c r="Z308" s="203" t="str">
        <f ca="1">Sprache!$A$79</f>
        <v>Створка</v>
      </c>
      <c r="AA308" s="203">
        <v>550</v>
      </c>
      <c r="AB308" s="201">
        <v>599</v>
      </c>
      <c r="AC308" s="203"/>
      <c r="AD308" s="204">
        <v>5.6</v>
      </c>
      <c r="AE308" s="205">
        <v>7.6</v>
      </c>
      <c r="AF308" s="266" t="str">
        <f>MID(Tabelle2[[#This Row],[bnr full]],1,4)</f>
        <v>F151</v>
      </c>
      <c r="AG308" s="267" t="str">
        <f>MID(Tabelle2[[#This Row],[bnr full]],5,3)</f>
        <v>147</v>
      </c>
      <c r="AH308" s="268" t="str">
        <f>MID(Tabelle2[[#This Row],[bnr full]],8,3)</f>
        <v>700</v>
      </c>
      <c r="AI308" s="267" t="str">
        <f>MID(Tabelle2[[#This Row],[bnr full]],11,3)</f>
        <v>201</v>
      </c>
      <c r="AJ308" s="253" t="str">
        <f>MID(Tabelle2[[#This Row],[bnr full]],11,3)</f>
        <v>201</v>
      </c>
      <c r="AK308" s="206" t="s">
        <v>1656</v>
      </c>
      <c r="AL308" s="201" t="str">
        <f ca="1">Sprache!$A$111</f>
        <v>Комплект (Л + П)</v>
      </c>
      <c r="AM308" s="203" t="s">
        <v>25</v>
      </c>
      <c r="AN308" s="203" t="str">
        <f ca="1">Sprache!$A$125</f>
        <v>Пружина, стандарт</v>
      </c>
      <c r="AO308" s="187" t="s">
        <v>25</v>
      </c>
      <c r="AP308" s="187" t="s">
        <v>25</v>
      </c>
      <c r="AQ308" s="203">
        <f>Limits!$K$9</f>
        <v>200</v>
      </c>
      <c r="AR308" s="201">
        <v>1200</v>
      </c>
      <c r="AS308" s="187"/>
      <c r="AT308" s="124"/>
      <c r="AU308"/>
      <c r="AV308"/>
      <c r="AY308"/>
      <c r="AZ308"/>
      <c r="BA308"/>
      <c r="BB308"/>
      <c r="BC308"/>
    </row>
    <row r="309" spans="1:55" hidden="1" x14ac:dyDescent="0.25">
      <c r="A309" s="12" t="str">
        <f ca="1">IF(F309+G309+H309+I309+J309+D309+E309=3,IF(Tabelle2[[#This Row],[Kappe Weiß]]=Limits!$R$29,1,""),"")</f>
        <v/>
      </c>
      <c r="B309" s="12" t="str">
        <f ca="1">IF(G309+H309+I309+J309+E309+F309=2,IF(Tabelle2[[#This Row],[Kappe Weiß]]=Limits!$R$29,1,""),"")</f>
        <v/>
      </c>
      <c r="C309" s="291">
        <v>1</v>
      </c>
      <c r="D309" s="171">
        <f>IF(Limits!$P$9=TRUE,1,0)</f>
        <v>0</v>
      </c>
      <c r="E309" s="172">
        <f>IF(Daten!$P309+Daten!$Q309+Daten!$S309=3,1,0)</f>
        <v>0</v>
      </c>
      <c r="F309" s="173">
        <f ca="1">IF(AND(Limits!$Q$21=TRUE,Daten!O309=1)=TRUE,1,0)</f>
        <v>0</v>
      </c>
      <c r="G309" s="174">
        <f>IF(AND(Limits!$Q$25=TRUE,Daten!N309=1)=TRUE,1,0)</f>
        <v>0</v>
      </c>
      <c r="H309" s="174">
        <f>IF(AND(Limits!$Q$24=TRUE,Daten!M309=1)=TRUE,1,0)</f>
        <v>0</v>
      </c>
      <c r="I309" s="174">
        <f>IF(AND(Limits!$Q$23=TRUE,Daten!L309=1)=TRUE,1,0)</f>
        <v>0</v>
      </c>
      <c r="J309" s="174">
        <f>IF(AND(Limits!$Q$22=TRUE,Daten!K309=1)=TRUE,1,0)</f>
        <v>0</v>
      </c>
      <c r="K309" s="188">
        <f>IF(Daten!$V309=13,1,0)</f>
        <v>1</v>
      </c>
      <c r="L309" s="189">
        <f>IF(Daten!$V309&lt;&gt;Daten!$W309,1,IF(Daten!$V309=14,1,0))</f>
        <v>0</v>
      </c>
      <c r="M309" s="189">
        <f>IF(Daten!$V309&lt;&gt;Daten!$W309,1,IF(Daten!$V309=16,1,0))</f>
        <v>0</v>
      </c>
      <c r="N309" s="189">
        <f>IF(Daten!$W309=17,1,0)</f>
        <v>0</v>
      </c>
      <c r="O309" s="190">
        <f ca="1">IF(Daten!$X309=Sprache!$A$70,1,0)</f>
        <v>0</v>
      </c>
      <c r="P309" s="191">
        <f>IF(AND(Daten!$AQ309&lt;=KINVARO!$AW$3,Daten!$AR309&gt;=KINVARO!$AW$3)=TRUE,1,0)</f>
        <v>1</v>
      </c>
      <c r="Q309" s="192">
        <f>IF(AND(Daten!$AA309&lt;=KINVARO!$AW$4,Daten!$AB309&gt;=KINVARO!$AW$4)=TRUE,1,0)</f>
        <v>0</v>
      </c>
      <c r="R309" s="192"/>
      <c r="S309" s="192">
        <f>IF(AND(Daten!$AD309&lt;=Limits!$I$70,Daten!$AE309&gt;=Limits!$I$70)=TRUE,1,0)</f>
        <v>0</v>
      </c>
      <c r="T309" s="193">
        <f ca="1">IF(Daten!$Y309=Sprache!$A$135,1,0)</f>
        <v>0</v>
      </c>
      <c r="U309" s="124" t="str">
        <f ca="1">Sprache!$A$65</f>
        <v>T-75 Поворотный подъемник</v>
      </c>
      <c r="V309" s="194">
        <v>13</v>
      </c>
      <c r="W309" s="193">
        <v>13</v>
      </c>
      <c r="X309" s="187" t="str">
        <f ca="1">Sprache!$A$141</f>
        <v>Alu</v>
      </c>
      <c r="Y309" s="187" t="str">
        <f ca="1">Sprache!$A$136</f>
        <v>nein</v>
      </c>
      <c r="Z309" s="187" t="str">
        <f ca="1">Sprache!$A$79</f>
        <v>Створка</v>
      </c>
      <c r="AA309" s="187">
        <v>550</v>
      </c>
      <c r="AB309" s="124">
        <v>599</v>
      </c>
      <c r="AC309" s="187"/>
      <c r="AD309" s="195">
        <v>5.6</v>
      </c>
      <c r="AE309" s="196">
        <v>7.6</v>
      </c>
      <c r="AF309" s="263" t="str">
        <f>MID(Tabelle2[[#This Row],[bnr full]],1,4)</f>
        <v>F151</v>
      </c>
      <c r="AG309" s="264" t="str">
        <f>MID(Tabelle2[[#This Row],[bnr full]],5,3)</f>
        <v>147</v>
      </c>
      <c r="AH309" s="265" t="str">
        <f>MID(Tabelle2[[#This Row],[bnr full]],8,3)</f>
        <v>813</v>
      </c>
      <c r="AI309" s="264" t="str">
        <f>MID(Tabelle2[[#This Row],[bnr full]],11,3)</f>
        <v>201</v>
      </c>
      <c r="AJ309" s="252" t="str">
        <f>MID(Tabelle2[[#This Row],[bnr full]],11,3)</f>
        <v>201</v>
      </c>
      <c r="AK309" s="197" t="s">
        <v>1657</v>
      </c>
      <c r="AL309" s="124" t="str">
        <f ca="1">Sprache!$A$111</f>
        <v>Комплект (Л + П)</v>
      </c>
      <c r="AM309" s="187" t="s">
        <v>25</v>
      </c>
      <c r="AN309" s="187" t="str">
        <f ca="1">Sprache!$A$125</f>
        <v>Пружина, стандарт</v>
      </c>
      <c r="AO309" s="187" t="s">
        <v>25</v>
      </c>
      <c r="AP309" s="187" t="s">
        <v>25</v>
      </c>
      <c r="AQ309" s="187">
        <f>Limits!$K$9</f>
        <v>200</v>
      </c>
      <c r="AR309" s="124">
        <v>1200</v>
      </c>
      <c r="AS309" s="187"/>
      <c r="AT309" s="124"/>
      <c r="AU309"/>
      <c r="AV309"/>
      <c r="AY309"/>
      <c r="AZ309"/>
      <c r="BA309"/>
      <c r="BB309"/>
      <c r="BC309"/>
    </row>
    <row r="310" spans="1:55" hidden="1" x14ac:dyDescent="0.25">
      <c r="A310" s="12" t="str">
        <f ca="1">IF(F310+G310+H310+I310+J310+D310+E310=3,IF(Tabelle2[[#This Row],[Kappe Weiß]]=Limits!$R$29,1,""),"")</f>
        <v/>
      </c>
      <c r="B310" s="12" t="str">
        <f ca="1">IF(G310+H310+I310+J310+E310+F310=2,IF(Tabelle2[[#This Row],[Kappe Weiß]]=Limits!$R$29,1,""),"")</f>
        <v/>
      </c>
      <c r="C310" s="291">
        <v>1</v>
      </c>
      <c r="D310" s="171">
        <f>IF(Limits!$P$9=TRUE,1,0)</f>
        <v>0</v>
      </c>
      <c r="E310" s="172">
        <f>IF(Daten!$P310+Daten!$Q310+Daten!$S310=3,1,0)</f>
        <v>0</v>
      </c>
      <c r="F310" s="173">
        <f ca="1">IF(AND(Limits!$Q$21=TRUE,Daten!O310=1)=TRUE,1,0)</f>
        <v>0</v>
      </c>
      <c r="G310" s="174">
        <f>IF(AND(Limits!$Q$25=TRUE,Daten!N310=1)=TRUE,1,0)</f>
        <v>0</v>
      </c>
      <c r="H310" s="174">
        <f>IF(AND(Limits!$Q$24=TRUE,Daten!M310=1)=TRUE,1,0)</f>
        <v>0</v>
      </c>
      <c r="I310" s="174">
        <f>IF(AND(Limits!$Q$23=TRUE,Daten!L310=1)=TRUE,1,0)</f>
        <v>0</v>
      </c>
      <c r="J310" s="174">
        <f>IF(AND(Limits!$Q$22=TRUE,Daten!K310=1)=TRUE,1,0)</f>
        <v>0</v>
      </c>
      <c r="K310" s="188">
        <f>IF(Daten!$V310=13,1,0)</f>
        <v>0</v>
      </c>
      <c r="L310" s="189">
        <f>IF(Daten!$V310&lt;&gt;Daten!$W310,1,IF(Daten!$V310=14,1,0))</f>
        <v>1</v>
      </c>
      <c r="M310" s="189">
        <f>IF(Daten!$V310&lt;&gt;Daten!$W310,1,IF(Daten!$V310=16,1,0))</f>
        <v>0</v>
      </c>
      <c r="N310" s="189">
        <f>IF(Daten!$W310=17,1,0)</f>
        <v>0</v>
      </c>
      <c r="O310" s="190">
        <f ca="1">IF(Daten!$X310=Sprache!$A$70,1,0)</f>
        <v>0</v>
      </c>
      <c r="P310" s="191">
        <f>IF(AND(Daten!$AQ310&lt;=KINVARO!$AW$3,Daten!$AR310&gt;=KINVARO!$AW$3)=TRUE,1,0)</f>
        <v>1</v>
      </c>
      <c r="Q310" s="192">
        <f>IF(AND(Daten!$AA310&lt;=KINVARO!$AW$4,Daten!$AB310&gt;=KINVARO!$AW$4)=TRUE,1,0)</f>
        <v>0</v>
      </c>
      <c r="R310" s="192"/>
      <c r="S310" s="192">
        <f>IF(AND(Daten!$AD310&lt;=Limits!$I$70,Daten!$AE310&gt;=Limits!$I$70)=TRUE,1,0)</f>
        <v>0</v>
      </c>
      <c r="T310" s="193">
        <f ca="1">IF(Daten!$Y310=Sprache!$A$135,1,0)</f>
        <v>0</v>
      </c>
      <c r="U310" s="124" t="str">
        <f ca="1">Sprache!$A$65</f>
        <v>T-75 Поворотный подъемник</v>
      </c>
      <c r="V310" s="194">
        <v>14</v>
      </c>
      <c r="W310" s="193">
        <v>14</v>
      </c>
      <c r="X310" s="187" t="str">
        <f ca="1">Sprache!$A$141</f>
        <v>Alu</v>
      </c>
      <c r="Y310" s="187" t="str">
        <f ca="1">Sprache!$A$136</f>
        <v>nein</v>
      </c>
      <c r="Z310" s="187" t="str">
        <f ca="1">Sprache!$A$79</f>
        <v>Створка</v>
      </c>
      <c r="AA310" s="187">
        <v>550</v>
      </c>
      <c r="AB310" s="124">
        <v>599</v>
      </c>
      <c r="AC310" s="187"/>
      <c r="AD310" s="195">
        <v>5.6</v>
      </c>
      <c r="AE310" s="196">
        <v>7.6</v>
      </c>
      <c r="AF310" s="263" t="str">
        <f>MID(Tabelle2[[#This Row],[bnr full]],1,4)</f>
        <v>F151</v>
      </c>
      <c r="AG310" s="264" t="str">
        <f>MID(Tabelle2[[#This Row],[bnr full]],5,3)</f>
        <v>147</v>
      </c>
      <c r="AH310" s="265" t="str">
        <f>MID(Tabelle2[[#This Row],[bnr full]],8,3)</f>
        <v>814</v>
      </c>
      <c r="AI310" s="264" t="str">
        <f>MID(Tabelle2[[#This Row],[bnr full]],11,3)</f>
        <v>201</v>
      </c>
      <c r="AJ310" s="252" t="str">
        <f>MID(Tabelle2[[#This Row],[bnr full]],11,3)</f>
        <v>201</v>
      </c>
      <c r="AK310" s="197" t="s">
        <v>1658</v>
      </c>
      <c r="AL310" s="124" t="str">
        <f ca="1">Sprache!$A$111</f>
        <v>Комплект (Л + П)</v>
      </c>
      <c r="AM310" s="187" t="s">
        <v>25</v>
      </c>
      <c r="AN310" s="187" t="str">
        <f ca="1">Sprache!$A$125</f>
        <v>Пружина, стандарт</v>
      </c>
      <c r="AO310" s="187" t="s">
        <v>25</v>
      </c>
      <c r="AP310" s="187" t="s">
        <v>25</v>
      </c>
      <c r="AQ310" s="187">
        <f>Limits!$K$9</f>
        <v>200</v>
      </c>
      <c r="AR310" s="124">
        <v>1200</v>
      </c>
      <c r="AS310" s="187"/>
      <c r="AT310" s="124"/>
      <c r="AU310"/>
      <c r="AV310"/>
      <c r="AY310"/>
      <c r="AZ310"/>
      <c r="BA310"/>
      <c r="BB310"/>
      <c r="BC310"/>
    </row>
    <row r="311" spans="1:55" hidden="1" x14ac:dyDescent="0.25">
      <c r="A311" s="12" t="str">
        <f ca="1">IF(F311+G311+H311+I311+J311+D311+E311=3,IF(Tabelle2[[#This Row],[Kappe Weiß]]=Limits!$R$29,1,""),"")</f>
        <v/>
      </c>
      <c r="B311" s="12" t="str">
        <f ca="1">IF(G311+H311+I311+J311+E311+F311=2,IF(Tabelle2[[#This Row],[Kappe Weiß]]=Limits!$R$29,1,""),"")</f>
        <v/>
      </c>
      <c r="C311" s="291">
        <v>1</v>
      </c>
      <c r="D311" s="171">
        <f>IF(Limits!$P$9=TRUE,1,0)</f>
        <v>0</v>
      </c>
      <c r="E311" s="172">
        <f>IF(Daten!$P311+Daten!$Q311+Daten!$S311=3,1,0)</f>
        <v>0</v>
      </c>
      <c r="F311" s="173">
        <f ca="1">IF(AND(Limits!$Q$21=TRUE,Daten!O311=1)=TRUE,1,0)</f>
        <v>0</v>
      </c>
      <c r="G311" s="174">
        <f>IF(AND(Limits!$Q$25=TRUE,Daten!N311=1)=TRUE,1,0)</f>
        <v>0</v>
      </c>
      <c r="H311" s="174">
        <f>IF(AND(Limits!$Q$24=TRUE,Daten!M311=1)=TRUE,1,0)</f>
        <v>0</v>
      </c>
      <c r="I311" s="174">
        <f>IF(AND(Limits!$Q$23=TRUE,Daten!L311=1)=TRUE,1,0)</f>
        <v>0</v>
      </c>
      <c r="J311" s="174">
        <f>IF(AND(Limits!$Q$22=TRUE,Daten!K311=1)=TRUE,1,0)</f>
        <v>0</v>
      </c>
      <c r="K311" s="188">
        <f>IF(Daten!$V311=13,1,0)</f>
        <v>0</v>
      </c>
      <c r="L311" s="189">
        <f>IF(Daten!$V311&lt;&gt;Daten!$W311,1,IF(Daten!$V311=14,1,0))</f>
        <v>0</v>
      </c>
      <c r="M311" s="189">
        <f>IF(Daten!$V311&lt;&gt;Daten!$W311,1,IF(Daten!$V311=16,1,0))</f>
        <v>1</v>
      </c>
      <c r="N311" s="189">
        <f>IF(Daten!$W311=17,1,0)</f>
        <v>0</v>
      </c>
      <c r="O311" s="190">
        <f ca="1">IF(Daten!$X311=Sprache!$A$70,1,0)</f>
        <v>0</v>
      </c>
      <c r="P311" s="191">
        <f>IF(AND(Daten!$AQ311&lt;=KINVARO!$AW$3,Daten!$AR311&gt;=KINVARO!$AW$3)=TRUE,1,0)</f>
        <v>1</v>
      </c>
      <c r="Q311" s="192">
        <f>IF(AND(Daten!$AA311&lt;=KINVARO!$AW$4,Daten!$AB311&gt;=KINVARO!$AW$4)=TRUE,1,0)</f>
        <v>0</v>
      </c>
      <c r="R311" s="192"/>
      <c r="S311" s="192">
        <f>IF(AND(Daten!$AD311&lt;=Limits!$I$70,Daten!$AE311&gt;=Limits!$I$70)=TRUE,1,0)</f>
        <v>0</v>
      </c>
      <c r="T311" s="193">
        <f ca="1">IF(Daten!$Y311=Sprache!$A$135,1,0)</f>
        <v>0</v>
      </c>
      <c r="U311" s="124" t="str">
        <f ca="1">Sprache!$A$65</f>
        <v>T-75 Поворотный подъемник</v>
      </c>
      <c r="V311" s="194">
        <v>16</v>
      </c>
      <c r="W311" s="193">
        <v>16</v>
      </c>
      <c r="X311" s="187" t="str">
        <f ca="1">Sprache!$A$141</f>
        <v>Alu</v>
      </c>
      <c r="Y311" s="187" t="str">
        <f ca="1">Sprache!$A$136</f>
        <v>nein</v>
      </c>
      <c r="Z311" s="187" t="str">
        <f ca="1">Sprache!$A$79</f>
        <v>Створка</v>
      </c>
      <c r="AA311" s="187">
        <v>550</v>
      </c>
      <c r="AB311" s="124">
        <v>599</v>
      </c>
      <c r="AC311" s="187"/>
      <c r="AD311" s="195">
        <v>5.6</v>
      </c>
      <c r="AE311" s="196">
        <v>7.6</v>
      </c>
      <c r="AF311" s="263" t="str">
        <f>MID(Tabelle2[[#This Row],[bnr full]],1,4)</f>
        <v>F151</v>
      </c>
      <c r="AG311" s="264" t="str">
        <f>MID(Tabelle2[[#This Row],[bnr full]],5,3)</f>
        <v>147</v>
      </c>
      <c r="AH311" s="265" t="str">
        <f>MID(Tabelle2[[#This Row],[bnr full]],8,3)</f>
        <v>815</v>
      </c>
      <c r="AI311" s="264" t="str">
        <f>MID(Tabelle2[[#This Row],[bnr full]],11,3)</f>
        <v>201</v>
      </c>
      <c r="AJ311" s="252" t="str">
        <f>MID(Tabelle2[[#This Row],[bnr full]],11,3)</f>
        <v>201</v>
      </c>
      <c r="AK311" s="197" t="s">
        <v>1659</v>
      </c>
      <c r="AL311" s="124" t="str">
        <f ca="1">Sprache!$A$111</f>
        <v>Комплект (Л + П)</v>
      </c>
      <c r="AM311" s="187" t="s">
        <v>25</v>
      </c>
      <c r="AN311" s="187" t="str">
        <f ca="1">Sprache!$A$125</f>
        <v>Пружина, стандарт</v>
      </c>
      <c r="AO311" s="187" t="s">
        <v>25</v>
      </c>
      <c r="AP311" s="187" t="s">
        <v>25</v>
      </c>
      <c r="AQ311" s="187">
        <f>Limits!$K$9</f>
        <v>200</v>
      </c>
      <c r="AR311" s="124">
        <v>1200</v>
      </c>
      <c r="AS311" s="187"/>
      <c r="AT311" s="124"/>
      <c r="AU311"/>
      <c r="AV311"/>
      <c r="AY311"/>
      <c r="AZ311"/>
      <c r="BA311"/>
      <c r="BB311"/>
      <c r="BC311"/>
    </row>
    <row r="312" spans="1:55" hidden="1" x14ac:dyDescent="0.25">
      <c r="A312" s="12" t="str">
        <f ca="1">IF(F312+G312+H312+I312+J312+D312+E312=3,IF(Tabelle2[[#This Row],[Kappe Weiß]]=Limits!$R$29,1,""),"")</f>
        <v/>
      </c>
      <c r="B312" s="12" t="str">
        <f ca="1">IF(G312+H312+I312+J312+E312+F312=2,IF(Tabelle2[[#This Row],[Kappe Weiß]]=Limits!$R$29,1,""),"")</f>
        <v/>
      </c>
      <c r="C312" s="291">
        <v>1</v>
      </c>
      <c r="D312" s="171">
        <f>IF(Limits!$P$9=TRUE,1,0)</f>
        <v>0</v>
      </c>
      <c r="E312" s="172">
        <f>IF(Daten!$P312+Daten!$Q312+Daten!$S312=3,1,0)</f>
        <v>0</v>
      </c>
      <c r="F312" s="173">
        <f ca="1">IF(AND(Limits!$Q$21=TRUE,Daten!O312=1)=TRUE,1,0)</f>
        <v>0</v>
      </c>
      <c r="G312" s="174">
        <f>IF(AND(Limits!$Q$25=TRUE,Daten!N312=1)=TRUE,1,0)</f>
        <v>0</v>
      </c>
      <c r="H312" s="174">
        <f>IF(AND(Limits!$Q$24=TRUE,Daten!M312=1)=TRUE,1,0)</f>
        <v>0</v>
      </c>
      <c r="I312" s="174">
        <f>IF(AND(Limits!$Q$23=TRUE,Daten!L312=1)=TRUE,1,0)</f>
        <v>0</v>
      </c>
      <c r="J312" s="174">
        <f>IF(AND(Limits!$Q$22=TRUE,Daten!K312=1)=TRUE,1,0)</f>
        <v>0</v>
      </c>
      <c r="K312" s="188">
        <f>IF(Daten!$V312=13,1,0)</f>
        <v>0</v>
      </c>
      <c r="L312" s="189">
        <f>IF(Daten!$V312&lt;&gt;Daten!$W312,1,IF(Daten!$V312=14,1,0))</f>
        <v>0</v>
      </c>
      <c r="M312" s="189">
        <f>IF(Daten!$V312&lt;&gt;Daten!$W312,1,IF(Daten!$V312=16,1,0))</f>
        <v>0</v>
      </c>
      <c r="N312" s="189">
        <f>IF(Daten!$W312=17,1,0)</f>
        <v>1</v>
      </c>
      <c r="O312" s="190">
        <f ca="1">IF(Daten!$X312=Sprache!$A$70,1,0)</f>
        <v>0</v>
      </c>
      <c r="P312" s="191">
        <f>IF(AND(Daten!$AQ312&lt;=KINVARO!$AW$3,Daten!$AR312&gt;=KINVARO!$AW$3)=TRUE,1,0)</f>
        <v>1</v>
      </c>
      <c r="Q312" s="192">
        <f>IF(AND(Daten!$AA312&lt;=KINVARO!$AW$4,Daten!$AB312&gt;=KINVARO!$AW$4)=TRUE,1,0)</f>
        <v>0</v>
      </c>
      <c r="R312" s="192"/>
      <c r="S312" s="192">
        <f>IF(AND(Daten!$AD312&lt;=Limits!$I$70,Daten!$AE312&gt;=Limits!$I$70)=TRUE,1,0)</f>
        <v>0</v>
      </c>
      <c r="T312" s="193">
        <f ca="1">IF(Daten!$Y312=Sprache!$A$135,1,0)</f>
        <v>0</v>
      </c>
      <c r="U312" s="124" t="str">
        <f ca="1">Sprache!$A$65</f>
        <v>T-75 Поворотный подъемник</v>
      </c>
      <c r="V312" s="194">
        <v>17</v>
      </c>
      <c r="W312" s="193">
        <v>17</v>
      </c>
      <c r="X312" s="187" t="str">
        <f ca="1">Sprache!$A$141</f>
        <v>Alu</v>
      </c>
      <c r="Y312" s="187" t="str">
        <f ca="1">Sprache!$A$136</f>
        <v>nein</v>
      </c>
      <c r="Z312" s="187" t="str">
        <f ca="1">Sprache!$A$79</f>
        <v>Створка</v>
      </c>
      <c r="AA312" s="187">
        <v>550</v>
      </c>
      <c r="AB312" s="124">
        <v>599</v>
      </c>
      <c r="AC312" s="187"/>
      <c r="AD312" s="195">
        <v>5.6</v>
      </c>
      <c r="AE312" s="196">
        <v>7.6</v>
      </c>
      <c r="AF312" s="263" t="str">
        <f>MID(Tabelle2[[#This Row],[bnr full]],1,4)</f>
        <v>F151</v>
      </c>
      <c r="AG312" s="264" t="str">
        <f>MID(Tabelle2[[#This Row],[bnr full]],5,3)</f>
        <v>147</v>
      </c>
      <c r="AH312" s="265" t="str">
        <f>MID(Tabelle2[[#This Row],[bnr full]],8,3)</f>
        <v>816</v>
      </c>
      <c r="AI312" s="264" t="str">
        <f>MID(Tabelle2[[#This Row],[bnr full]],11,3)</f>
        <v>201</v>
      </c>
      <c r="AJ312" s="252" t="str">
        <f>MID(Tabelle2[[#This Row],[bnr full]],11,3)</f>
        <v>201</v>
      </c>
      <c r="AK312" s="197" t="s">
        <v>1660</v>
      </c>
      <c r="AL312" s="124" t="str">
        <f ca="1">Sprache!$A$111</f>
        <v>Комплект (Л + П)</v>
      </c>
      <c r="AM312" s="187" t="s">
        <v>25</v>
      </c>
      <c r="AN312" s="187" t="str">
        <f ca="1">Sprache!$A$125</f>
        <v>Пружина, стандарт</v>
      </c>
      <c r="AO312" s="187" t="s">
        <v>25</v>
      </c>
      <c r="AP312" s="187" t="s">
        <v>25</v>
      </c>
      <c r="AQ312" s="187">
        <f>Limits!$K$9</f>
        <v>200</v>
      </c>
      <c r="AR312" s="124">
        <v>1200</v>
      </c>
      <c r="AS312" s="187"/>
      <c r="AT312" s="124"/>
      <c r="AU312"/>
      <c r="AV312"/>
      <c r="AY312"/>
      <c r="AZ312"/>
      <c r="BA312"/>
      <c r="BB312"/>
      <c r="BC312"/>
    </row>
    <row r="313" spans="1:55" hidden="1" x14ac:dyDescent="0.25">
      <c r="A313" s="12" t="str">
        <f ca="1">IF(F313+G313+H313+I313+J313+D313+E313=3,IF(Tabelle2[[#This Row],[Kappe Weiß]]=Limits!$R$29,1,""),"")</f>
        <v/>
      </c>
      <c r="B313" s="12" t="str">
        <f ca="1">IF(G313+H313+I313+J313+E313+F313=2,IF(Tabelle2[[#This Row],[Kappe Weiß]]=Limits!$R$29,1,""),"")</f>
        <v/>
      </c>
      <c r="C313" s="292">
        <v>1</v>
      </c>
      <c r="D313" s="171">
        <f>IF(Limits!$P$9=TRUE,1,0)</f>
        <v>0</v>
      </c>
      <c r="E313" s="172">
        <f>IF(Daten!$P313+Daten!$Q313+Daten!$S313=3,1,0)</f>
        <v>0</v>
      </c>
      <c r="F313" s="173">
        <f ca="1">IF(AND(Limits!$Q$21=TRUE,Daten!O313=1)=TRUE,1,0)</f>
        <v>1</v>
      </c>
      <c r="G313" s="174">
        <f ca="1">IF(AND(Limits!$Q$25=TRUE,Daten!N313=1)=TRUE,1,0)</f>
        <v>0</v>
      </c>
      <c r="H313" s="174">
        <f ca="1">IF(AND(Limits!$Q$24=TRUE,Daten!M313=1)=TRUE,1,0)</f>
        <v>0</v>
      </c>
      <c r="I313" s="174">
        <f ca="1">IF(AND(Limits!$Q$23=TRUE,Daten!L313=1)=TRUE,1,0)</f>
        <v>0</v>
      </c>
      <c r="J313" s="174">
        <f ca="1">IF(AND(Limits!$Q$22=TRUE,Daten!K313=1)=TRUE,1,0)</f>
        <v>0</v>
      </c>
      <c r="K313" s="188">
        <f ca="1">IF(Daten!$V313=13,1,0)</f>
        <v>0</v>
      </c>
      <c r="L313" s="189">
        <f ca="1">IF(Daten!$V313&lt;&gt;Daten!$W313,1,IF(Daten!$V313=14,1,0))</f>
        <v>0</v>
      </c>
      <c r="M313" s="189">
        <f ca="1">IF(Daten!$V313&lt;&gt;Daten!$W313,1,IF(Daten!$V313=16,1,0))</f>
        <v>0</v>
      </c>
      <c r="N313" s="189">
        <f ca="1">IF(Daten!$W313=17,1,0)</f>
        <v>0</v>
      </c>
      <c r="O313" s="190">
        <f ca="1">IF(Daten!$X313=Sprache!$A$70,1,0)</f>
        <v>1</v>
      </c>
      <c r="P313" s="198">
        <f>IF(AND(Daten!$AQ313&lt;=KINVARO!$AW$3,Daten!$AR313&gt;=KINVARO!$AW$3)=TRUE,1,0)</f>
        <v>1</v>
      </c>
      <c r="Q313" s="199">
        <f>IF(AND(Daten!$AA313&lt;=KINVARO!$AW$4,Daten!$AB313&gt;=KINVARO!$AW$4)=TRUE,1,0)</f>
        <v>0</v>
      </c>
      <c r="R313" s="199"/>
      <c r="S313" s="199">
        <f>IF(AND(Daten!$AD313&lt;=Limits!$I$70,Daten!$AE313&gt;=Limits!$I$70)=TRUE,1,0)</f>
        <v>0</v>
      </c>
      <c r="T313" s="200">
        <f ca="1">IF(Daten!$Y313=Sprache!$A$135,1,0)</f>
        <v>0</v>
      </c>
      <c r="U313" s="201" t="str">
        <f ca="1">Sprache!$A$65</f>
        <v>T-75 Поворотный подъемник</v>
      </c>
      <c r="V313" s="202" t="str">
        <f ca="1">Sprache!$A$74</f>
        <v>var</v>
      </c>
      <c r="W313" s="200" t="str">
        <f ca="1">Sprache!$A$74</f>
        <v>var</v>
      </c>
      <c r="X313" s="203" t="str">
        <f ca="1">Sprache!$A$70</f>
        <v>соединение с древесиной</v>
      </c>
      <c r="Y313" s="187" t="str">
        <f ca="1">Sprache!$A$136</f>
        <v>nein</v>
      </c>
      <c r="Z313" s="203" t="str">
        <f ca="1">Sprache!$A$79</f>
        <v>Створка</v>
      </c>
      <c r="AA313" s="203">
        <v>600</v>
      </c>
      <c r="AB313" s="201">
        <v>600</v>
      </c>
      <c r="AC313" s="203"/>
      <c r="AD313" s="204">
        <v>5.2</v>
      </c>
      <c r="AE313" s="205">
        <v>7</v>
      </c>
      <c r="AF313" s="266" t="str">
        <f>MID(Tabelle2[[#This Row],[bnr full]],1,4)</f>
        <v>F151</v>
      </c>
      <c r="AG313" s="267" t="str">
        <f>MID(Tabelle2[[#This Row],[bnr full]],5,3)</f>
        <v>147</v>
      </c>
      <c r="AH313" s="268" t="str">
        <f>MID(Tabelle2[[#This Row],[bnr full]],8,3)</f>
        <v>700</v>
      </c>
      <c r="AI313" s="267" t="str">
        <f>MID(Tabelle2[[#This Row],[bnr full]],11,3)</f>
        <v>201</v>
      </c>
      <c r="AJ313" s="253" t="str">
        <f>MID(Tabelle2[[#This Row],[bnr full]],11,3)</f>
        <v>201</v>
      </c>
      <c r="AK313" s="206" t="s">
        <v>1656</v>
      </c>
      <c r="AL313" s="201" t="str">
        <f ca="1">Sprache!$A$111</f>
        <v>Комплект (Л + П)</v>
      </c>
      <c r="AM313" s="203" t="s">
        <v>25</v>
      </c>
      <c r="AN313" s="203" t="str">
        <f ca="1">Sprache!$A$125</f>
        <v>Пружина, стандарт</v>
      </c>
      <c r="AO313" s="187" t="s">
        <v>25</v>
      </c>
      <c r="AP313" s="187" t="s">
        <v>25</v>
      </c>
      <c r="AQ313" s="203">
        <f>Limits!$K$9</f>
        <v>200</v>
      </c>
      <c r="AR313" s="201">
        <v>1200</v>
      </c>
      <c r="AS313" s="187"/>
      <c r="AT313" s="124"/>
      <c r="AU313"/>
      <c r="AV313"/>
      <c r="AY313"/>
      <c r="AZ313"/>
      <c r="BA313"/>
      <c r="BB313"/>
      <c r="BC313"/>
    </row>
    <row r="314" spans="1:55" hidden="1" x14ac:dyDescent="0.25">
      <c r="A314" s="12" t="str">
        <f ca="1">IF(F314+G314+H314+I314+J314+D314+E314=3,IF(Tabelle2[[#This Row],[Kappe Weiß]]=Limits!$R$29,1,""),"")</f>
        <v/>
      </c>
      <c r="B314" s="12" t="str">
        <f ca="1">IF(G314+H314+I314+J314+E314+F314=2,IF(Tabelle2[[#This Row],[Kappe Weiß]]=Limits!$R$29,1,""),"")</f>
        <v/>
      </c>
      <c r="C314" s="291">
        <v>1</v>
      </c>
      <c r="D314" s="171">
        <f>IF(Limits!$P$9=TRUE,1,0)</f>
        <v>0</v>
      </c>
      <c r="E314" s="172">
        <f>IF(Daten!$P314+Daten!$Q314+Daten!$S314=3,1,0)</f>
        <v>0</v>
      </c>
      <c r="F314" s="173">
        <f ca="1">IF(AND(Limits!$Q$21=TRUE,Daten!O314=1)=TRUE,1,0)</f>
        <v>0</v>
      </c>
      <c r="G314" s="174">
        <f>IF(AND(Limits!$Q$25=TRUE,Daten!N314=1)=TRUE,1,0)</f>
        <v>0</v>
      </c>
      <c r="H314" s="174">
        <f>IF(AND(Limits!$Q$24=TRUE,Daten!M314=1)=TRUE,1,0)</f>
        <v>0</v>
      </c>
      <c r="I314" s="174">
        <f>IF(AND(Limits!$Q$23=TRUE,Daten!L314=1)=TRUE,1,0)</f>
        <v>0</v>
      </c>
      <c r="J314" s="174">
        <f>IF(AND(Limits!$Q$22=TRUE,Daten!K314=1)=TRUE,1,0)</f>
        <v>0</v>
      </c>
      <c r="K314" s="188">
        <f>IF(Daten!$V314=13,1,0)</f>
        <v>1</v>
      </c>
      <c r="L314" s="189">
        <f>IF(Daten!$V314&lt;&gt;Daten!$W314,1,IF(Daten!$V314=14,1,0))</f>
        <v>0</v>
      </c>
      <c r="M314" s="189">
        <f>IF(Daten!$V314&lt;&gt;Daten!$W314,1,IF(Daten!$V314=16,1,0))</f>
        <v>0</v>
      </c>
      <c r="N314" s="189">
        <f>IF(Daten!$W314=17,1,0)</f>
        <v>0</v>
      </c>
      <c r="O314" s="190">
        <f ca="1">IF(Daten!$X314=Sprache!$A$70,1,0)</f>
        <v>0</v>
      </c>
      <c r="P314" s="191">
        <f>IF(AND(Daten!$AQ314&lt;=KINVARO!$AW$3,Daten!$AR314&gt;=KINVARO!$AW$3)=TRUE,1,0)</f>
        <v>1</v>
      </c>
      <c r="Q314" s="192">
        <f>IF(AND(Daten!$AA314&lt;=KINVARO!$AW$4,Daten!$AB314&gt;=KINVARO!$AW$4)=TRUE,1,0)</f>
        <v>0</v>
      </c>
      <c r="R314" s="192"/>
      <c r="S314" s="192">
        <f>IF(AND(Daten!$AD314&lt;=Limits!$I$70,Daten!$AE314&gt;=Limits!$I$70)=TRUE,1,0)</f>
        <v>0</v>
      </c>
      <c r="T314" s="193">
        <f ca="1">IF(Daten!$Y314=Sprache!$A$135,1,0)</f>
        <v>0</v>
      </c>
      <c r="U314" s="124" t="str">
        <f ca="1">Sprache!$A$65</f>
        <v>T-75 Поворотный подъемник</v>
      </c>
      <c r="V314" s="194">
        <v>13</v>
      </c>
      <c r="W314" s="193">
        <v>13</v>
      </c>
      <c r="X314" s="187" t="str">
        <f ca="1">Sprache!$A$141</f>
        <v>Alu</v>
      </c>
      <c r="Y314" s="187" t="str">
        <f ca="1">Sprache!$A$136</f>
        <v>nein</v>
      </c>
      <c r="Z314" s="187" t="str">
        <f ca="1">Sprache!$A$79</f>
        <v>Створка</v>
      </c>
      <c r="AA314" s="187">
        <v>600</v>
      </c>
      <c r="AB314" s="124">
        <v>600</v>
      </c>
      <c r="AC314" s="187"/>
      <c r="AD314" s="195">
        <v>5.2</v>
      </c>
      <c r="AE314" s="196">
        <v>7</v>
      </c>
      <c r="AF314" s="263" t="str">
        <f>MID(Tabelle2[[#This Row],[bnr full]],1,4)</f>
        <v>F151</v>
      </c>
      <c r="AG314" s="264" t="str">
        <f>MID(Tabelle2[[#This Row],[bnr full]],5,3)</f>
        <v>147</v>
      </c>
      <c r="AH314" s="265" t="str">
        <f>MID(Tabelle2[[#This Row],[bnr full]],8,3)</f>
        <v>813</v>
      </c>
      <c r="AI314" s="264" t="str">
        <f>MID(Tabelle2[[#This Row],[bnr full]],11,3)</f>
        <v>201</v>
      </c>
      <c r="AJ314" s="252" t="str">
        <f>MID(Tabelle2[[#This Row],[bnr full]],11,3)</f>
        <v>201</v>
      </c>
      <c r="AK314" s="197" t="s">
        <v>1657</v>
      </c>
      <c r="AL314" s="124" t="str">
        <f ca="1">Sprache!$A$111</f>
        <v>Комплект (Л + П)</v>
      </c>
      <c r="AM314" s="187" t="s">
        <v>25</v>
      </c>
      <c r="AN314" s="187" t="str">
        <f ca="1">Sprache!$A$125</f>
        <v>Пружина, стандарт</v>
      </c>
      <c r="AO314" s="187" t="s">
        <v>25</v>
      </c>
      <c r="AP314" s="187" t="s">
        <v>25</v>
      </c>
      <c r="AQ314" s="187">
        <f>Limits!$K$9</f>
        <v>200</v>
      </c>
      <c r="AR314" s="124">
        <v>1200</v>
      </c>
      <c r="AS314" s="187"/>
      <c r="AT314" s="124"/>
      <c r="AU314"/>
      <c r="AV314"/>
      <c r="AY314"/>
      <c r="AZ314"/>
      <c r="BA314"/>
      <c r="BB314"/>
      <c r="BC314"/>
    </row>
    <row r="315" spans="1:55" hidden="1" x14ac:dyDescent="0.25">
      <c r="A315" s="12" t="str">
        <f ca="1">IF(F315+G315+H315+I315+J315+D315+E315=3,IF(Tabelle2[[#This Row],[Kappe Weiß]]=Limits!$R$29,1,""),"")</f>
        <v/>
      </c>
      <c r="B315" s="12" t="str">
        <f ca="1">IF(G315+H315+I315+J315+E315+F315=2,IF(Tabelle2[[#This Row],[Kappe Weiß]]=Limits!$R$29,1,""),"")</f>
        <v/>
      </c>
      <c r="C315" s="291">
        <v>1</v>
      </c>
      <c r="D315" s="171">
        <f>IF(Limits!$P$9=TRUE,1,0)</f>
        <v>0</v>
      </c>
      <c r="E315" s="172">
        <f>IF(Daten!$P315+Daten!$Q315+Daten!$S315=3,1,0)</f>
        <v>0</v>
      </c>
      <c r="F315" s="173">
        <f ca="1">IF(AND(Limits!$Q$21=TRUE,Daten!O315=1)=TRUE,1,0)</f>
        <v>0</v>
      </c>
      <c r="G315" s="174">
        <f>IF(AND(Limits!$Q$25=TRUE,Daten!N315=1)=TRUE,1,0)</f>
        <v>0</v>
      </c>
      <c r="H315" s="174">
        <f>IF(AND(Limits!$Q$24=TRUE,Daten!M315=1)=TRUE,1,0)</f>
        <v>0</v>
      </c>
      <c r="I315" s="174">
        <f>IF(AND(Limits!$Q$23=TRUE,Daten!L315=1)=TRUE,1,0)</f>
        <v>0</v>
      </c>
      <c r="J315" s="174">
        <f>IF(AND(Limits!$Q$22=TRUE,Daten!K315=1)=TRUE,1,0)</f>
        <v>0</v>
      </c>
      <c r="K315" s="188">
        <f>IF(Daten!$V315=13,1,0)</f>
        <v>0</v>
      </c>
      <c r="L315" s="189">
        <f>IF(Daten!$V315&lt;&gt;Daten!$W315,1,IF(Daten!$V315=14,1,0))</f>
        <v>1</v>
      </c>
      <c r="M315" s="189">
        <f>IF(Daten!$V315&lt;&gt;Daten!$W315,1,IF(Daten!$V315=16,1,0))</f>
        <v>0</v>
      </c>
      <c r="N315" s="189">
        <f>IF(Daten!$W315=17,1,0)</f>
        <v>0</v>
      </c>
      <c r="O315" s="190">
        <f ca="1">IF(Daten!$X315=Sprache!$A$70,1,0)</f>
        <v>0</v>
      </c>
      <c r="P315" s="191">
        <f>IF(AND(Daten!$AQ315&lt;=KINVARO!$AW$3,Daten!$AR315&gt;=KINVARO!$AW$3)=TRUE,1,0)</f>
        <v>1</v>
      </c>
      <c r="Q315" s="192">
        <f>IF(AND(Daten!$AA315&lt;=KINVARO!$AW$4,Daten!$AB315&gt;=KINVARO!$AW$4)=TRUE,1,0)</f>
        <v>0</v>
      </c>
      <c r="R315" s="192"/>
      <c r="S315" s="192">
        <f>IF(AND(Daten!$AD315&lt;=Limits!$I$70,Daten!$AE315&gt;=Limits!$I$70)=TRUE,1,0)</f>
        <v>0</v>
      </c>
      <c r="T315" s="193">
        <f ca="1">IF(Daten!$Y315=Sprache!$A$135,1,0)</f>
        <v>0</v>
      </c>
      <c r="U315" s="124" t="str">
        <f ca="1">Sprache!$A$65</f>
        <v>T-75 Поворотный подъемник</v>
      </c>
      <c r="V315" s="194">
        <v>14</v>
      </c>
      <c r="W315" s="193">
        <v>14</v>
      </c>
      <c r="X315" s="187" t="str">
        <f ca="1">Sprache!$A$141</f>
        <v>Alu</v>
      </c>
      <c r="Y315" s="187" t="str">
        <f ca="1">Sprache!$A$136</f>
        <v>nein</v>
      </c>
      <c r="Z315" s="187" t="str">
        <f ca="1">Sprache!$A$79</f>
        <v>Створка</v>
      </c>
      <c r="AA315" s="187">
        <v>600</v>
      </c>
      <c r="AB315" s="124">
        <v>600</v>
      </c>
      <c r="AC315" s="187"/>
      <c r="AD315" s="195">
        <v>5.2</v>
      </c>
      <c r="AE315" s="196">
        <v>7</v>
      </c>
      <c r="AF315" s="263" t="str">
        <f>MID(Tabelle2[[#This Row],[bnr full]],1,4)</f>
        <v>F151</v>
      </c>
      <c r="AG315" s="264" t="str">
        <f>MID(Tabelle2[[#This Row],[bnr full]],5,3)</f>
        <v>147</v>
      </c>
      <c r="AH315" s="265" t="str">
        <f>MID(Tabelle2[[#This Row],[bnr full]],8,3)</f>
        <v>814</v>
      </c>
      <c r="AI315" s="264" t="str">
        <f>MID(Tabelle2[[#This Row],[bnr full]],11,3)</f>
        <v>201</v>
      </c>
      <c r="AJ315" s="252" t="str">
        <f>MID(Tabelle2[[#This Row],[bnr full]],11,3)</f>
        <v>201</v>
      </c>
      <c r="AK315" s="197" t="s">
        <v>1658</v>
      </c>
      <c r="AL315" s="124" t="str">
        <f ca="1">Sprache!$A$111</f>
        <v>Комплект (Л + П)</v>
      </c>
      <c r="AM315" s="187" t="s">
        <v>25</v>
      </c>
      <c r="AN315" s="187" t="str">
        <f ca="1">Sprache!$A$125</f>
        <v>Пружина, стандарт</v>
      </c>
      <c r="AO315" s="187" t="s">
        <v>25</v>
      </c>
      <c r="AP315" s="187" t="s">
        <v>25</v>
      </c>
      <c r="AQ315" s="187">
        <f>Limits!$K$9</f>
        <v>200</v>
      </c>
      <c r="AR315" s="124">
        <v>1200</v>
      </c>
      <c r="AS315" s="187"/>
      <c r="AT315" s="124"/>
      <c r="AU315"/>
      <c r="AV315"/>
      <c r="AY315"/>
      <c r="AZ315"/>
      <c r="BA315"/>
      <c r="BB315"/>
      <c r="BC315"/>
    </row>
    <row r="316" spans="1:55" hidden="1" x14ac:dyDescent="0.25">
      <c r="A316" s="12" t="str">
        <f ca="1">IF(F316+G316+H316+I316+J316+D316+E316=3,IF(Tabelle2[[#This Row],[Kappe Weiß]]=Limits!$R$29,1,""),"")</f>
        <v/>
      </c>
      <c r="B316" s="12" t="str">
        <f ca="1">IF(G316+H316+I316+J316+E316+F316=2,IF(Tabelle2[[#This Row],[Kappe Weiß]]=Limits!$R$29,1,""),"")</f>
        <v/>
      </c>
      <c r="C316" s="291">
        <v>1</v>
      </c>
      <c r="D316" s="171">
        <f>IF(Limits!$P$9=TRUE,1,0)</f>
        <v>0</v>
      </c>
      <c r="E316" s="172">
        <f>IF(Daten!$P316+Daten!$Q316+Daten!$S316=3,1,0)</f>
        <v>0</v>
      </c>
      <c r="F316" s="173">
        <f ca="1">IF(AND(Limits!$Q$21=TRUE,Daten!O316=1)=TRUE,1,0)</f>
        <v>0</v>
      </c>
      <c r="G316" s="174">
        <f>IF(AND(Limits!$Q$25=TRUE,Daten!N316=1)=TRUE,1,0)</f>
        <v>0</v>
      </c>
      <c r="H316" s="174">
        <f>IF(AND(Limits!$Q$24=TRUE,Daten!M316=1)=TRUE,1,0)</f>
        <v>0</v>
      </c>
      <c r="I316" s="174">
        <f>IF(AND(Limits!$Q$23=TRUE,Daten!L316=1)=TRUE,1,0)</f>
        <v>0</v>
      </c>
      <c r="J316" s="174">
        <f>IF(AND(Limits!$Q$22=TRUE,Daten!K316=1)=TRUE,1,0)</f>
        <v>0</v>
      </c>
      <c r="K316" s="188">
        <f>IF(Daten!$V316=13,1,0)</f>
        <v>0</v>
      </c>
      <c r="L316" s="189">
        <f>IF(Daten!$V316&lt;&gt;Daten!$W316,1,IF(Daten!$V316=14,1,0))</f>
        <v>0</v>
      </c>
      <c r="M316" s="189">
        <f>IF(Daten!$V316&lt;&gt;Daten!$W316,1,IF(Daten!$V316=16,1,0))</f>
        <v>1</v>
      </c>
      <c r="N316" s="189">
        <f>IF(Daten!$W316=17,1,0)</f>
        <v>0</v>
      </c>
      <c r="O316" s="190">
        <f ca="1">IF(Daten!$X316=Sprache!$A$70,1,0)</f>
        <v>0</v>
      </c>
      <c r="P316" s="191">
        <f>IF(AND(Daten!$AQ316&lt;=KINVARO!$AW$3,Daten!$AR316&gt;=KINVARO!$AW$3)=TRUE,1,0)</f>
        <v>1</v>
      </c>
      <c r="Q316" s="192">
        <f>IF(AND(Daten!$AA316&lt;=KINVARO!$AW$4,Daten!$AB316&gt;=KINVARO!$AW$4)=TRUE,1,0)</f>
        <v>0</v>
      </c>
      <c r="R316" s="192"/>
      <c r="S316" s="192">
        <f>IF(AND(Daten!$AD316&lt;=Limits!$I$70,Daten!$AE316&gt;=Limits!$I$70)=TRUE,1,0)</f>
        <v>0</v>
      </c>
      <c r="T316" s="193">
        <f ca="1">IF(Daten!$Y316=Sprache!$A$135,1,0)</f>
        <v>0</v>
      </c>
      <c r="U316" s="124" t="str">
        <f ca="1">Sprache!$A$65</f>
        <v>T-75 Поворотный подъемник</v>
      </c>
      <c r="V316" s="194">
        <v>16</v>
      </c>
      <c r="W316" s="193">
        <v>16</v>
      </c>
      <c r="X316" s="187" t="str">
        <f ca="1">Sprache!$A$141</f>
        <v>Alu</v>
      </c>
      <c r="Y316" s="187" t="str">
        <f ca="1">Sprache!$A$136</f>
        <v>nein</v>
      </c>
      <c r="Z316" s="187" t="str">
        <f ca="1">Sprache!$A$79</f>
        <v>Створка</v>
      </c>
      <c r="AA316" s="187">
        <v>600</v>
      </c>
      <c r="AB316" s="124">
        <v>600</v>
      </c>
      <c r="AC316" s="187"/>
      <c r="AD316" s="195">
        <v>5.2</v>
      </c>
      <c r="AE316" s="196">
        <v>7</v>
      </c>
      <c r="AF316" s="263" t="str">
        <f>MID(Tabelle2[[#This Row],[bnr full]],1,4)</f>
        <v>F151</v>
      </c>
      <c r="AG316" s="264" t="str">
        <f>MID(Tabelle2[[#This Row],[bnr full]],5,3)</f>
        <v>147</v>
      </c>
      <c r="AH316" s="265" t="str">
        <f>MID(Tabelle2[[#This Row],[bnr full]],8,3)</f>
        <v>815</v>
      </c>
      <c r="AI316" s="264" t="str">
        <f>MID(Tabelle2[[#This Row],[bnr full]],11,3)</f>
        <v>201</v>
      </c>
      <c r="AJ316" s="252" t="str">
        <f>MID(Tabelle2[[#This Row],[bnr full]],11,3)</f>
        <v>201</v>
      </c>
      <c r="AK316" s="197" t="s">
        <v>1659</v>
      </c>
      <c r="AL316" s="124" t="str">
        <f ca="1">Sprache!$A$111</f>
        <v>Комплект (Л + П)</v>
      </c>
      <c r="AM316" s="187" t="s">
        <v>25</v>
      </c>
      <c r="AN316" s="187" t="str">
        <f ca="1">Sprache!$A$125</f>
        <v>Пружина, стандарт</v>
      </c>
      <c r="AO316" s="187" t="s">
        <v>25</v>
      </c>
      <c r="AP316" s="187" t="s">
        <v>25</v>
      </c>
      <c r="AQ316" s="187">
        <f>Limits!$K$9</f>
        <v>200</v>
      </c>
      <c r="AR316" s="124">
        <v>1200</v>
      </c>
      <c r="AS316" s="187"/>
      <c r="AT316" s="124"/>
      <c r="AU316"/>
      <c r="AV316"/>
      <c r="AY316"/>
      <c r="AZ316"/>
      <c r="BA316"/>
      <c r="BB316"/>
      <c r="BC316"/>
    </row>
    <row r="317" spans="1:55" s="5" customFormat="1" hidden="1" x14ac:dyDescent="0.25">
      <c r="A317" s="12" t="str">
        <f ca="1">IF(F317+G317+H317+I317+J317+D317+E317=3,IF(Tabelle2[[#This Row],[Kappe Weiß]]=Limits!$R$29,1,""),"")</f>
        <v/>
      </c>
      <c r="B317" s="12" t="str">
        <f ca="1">IF(G317+H317+I317+J317+E317+F317=2,IF(Tabelle2[[#This Row],[Kappe Weiß]]=Limits!$R$29,1,""),"")</f>
        <v/>
      </c>
      <c r="C317" s="291">
        <v>1</v>
      </c>
      <c r="D317" s="207">
        <f>IF(Limits!$P$9=TRUE,1,0)</f>
        <v>0</v>
      </c>
      <c r="E317" s="172">
        <f>IF(Daten!$P317+Daten!$Q317+Daten!$S317=3,1,0)</f>
        <v>0</v>
      </c>
      <c r="F317" s="173">
        <f ca="1">IF(AND(Limits!$Q$21=TRUE,Daten!O317=1)=TRUE,1,0)</f>
        <v>0</v>
      </c>
      <c r="G317" s="174">
        <f>IF(AND(Limits!$Q$25=TRUE,Daten!N317=1)=TRUE,1,0)</f>
        <v>0</v>
      </c>
      <c r="H317" s="174">
        <f>IF(AND(Limits!$Q$24=TRUE,Daten!M317=1)=TRUE,1,0)</f>
        <v>0</v>
      </c>
      <c r="I317" s="174">
        <f>IF(AND(Limits!$Q$23=TRUE,Daten!L317=1)=TRUE,1,0)</f>
        <v>0</v>
      </c>
      <c r="J317" s="174">
        <f>IF(AND(Limits!$Q$22=TRUE,Daten!K317=1)=TRUE,1,0)</f>
        <v>0</v>
      </c>
      <c r="K317" s="188">
        <f>IF(Daten!$V317=13,1,0)</f>
        <v>0</v>
      </c>
      <c r="L317" s="189">
        <f>IF(Daten!$V317&lt;&gt;Daten!$W317,1,IF(Daten!$V317=14,1,0))</f>
        <v>0</v>
      </c>
      <c r="M317" s="189">
        <f>IF(Daten!$V317&lt;&gt;Daten!$W317,1,IF(Daten!$V317=16,1,0))</f>
        <v>0</v>
      </c>
      <c r="N317" s="189">
        <f>IF(Daten!$W317=17,1,0)</f>
        <v>1</v>
      </c>
      <c r="O317" s="190">
        <f ca="1">IF(Daten!$X317=Sprache!$A$70,1,0)</f>
        <v>0</v>
      </c>
      <c r="P317" s="191">
        <f>IF(AND(Daten!$AQ317&lt;=KINVARO!$AW$3,Daten!$AR317&gt;=KINVARO!$AW$3)=TRUE,1,0)</f>
        <v>1</v>
      </c>
      <c r="Q317" s="192">
        <f>IF(AND(Daten!$AA317&lt;=KINVARO!$AW$4,Daten!$AB317&gt;=KINVARO!$AW$4)=TRUE,1,0)</f>
        <v>0</v>
      </c>
      <c r="R317" s="192"/>
      <c r="S317" s="192">
        <f>IF(AND(Daten!$AD317&lt;=Limits!$I$70,Daten!$AE317&gt;=Limits!$I$70)=TRUE,1,0)</f>
        <v>0</v>
      </c>
      <c r="T317" s="193">
        <f ca="1">IF(Daten!$Y317=Sprache!$A$135,1,0)</f>
        <v>0</v>
      </c>
      <c r="U317" s="124" t="str">
        <f ca="1">Sprache!$A$65</f>
        <v>T-75 Поворотный подъемник</v>
      </c>
      <c r="V317" s="194">
        <v>17</v>
      </c>
      <c r="W317" s="193">
        <v>17</v>
      </c>
      <c r="X317" s="187" t="str">
        <f ca="1">Sprache!$A$141</f>
        <v>Alu</v>
      </c>
      <c r="Y317" s="187" t="str">
        <f ca="1">Sprache!$A$136</f>
        <v>nein</v>
      </c>
      <c r="Z317" s="187" t="str">
        <f ca="1">Sprache!$A$79</f>
        <v>Створка</v>
      </c>
      <c r="AA317" s="187">
        <v>600</v>
      </c>
      <c r="AB317" s="124">
        <v>600</v>
      </c>
      <c r="AC317" s="187"/>
      <c r="AD317" s="195">
        <v>5.2</v>
      </c>
      <c r="AE317" s="196">
        <v>7</v>
      </c>
      <c r="AF317" s="263" t="str">
        <f>MID(Tabelle2[[#This Row],[bnr full]],1,4)</f>
        <v>F151</v>
      </c>
      <c r="AG317" s="264" t="str">
        <f>MID(Tabelle2[[#This Row],[bnr full]],5,3)</f>
        <v>147</v>
      </c>
      <c r="AH317" s="265" t="str">
        <f>MID(Tabelle2[[#This Row],[bnr full]],8,3)</f>
        <v>816</v>
      </c>
      <c r="AI317" s="264" t="str">
        <f>MID(Tabelle2[[#This Row],[bnr full]],11,3)</f>
        <v>201</v>
      </c>
      <c r="AJ317" s="252" t="str">
        <f>MID(Tabelle2[[#This Row],[bnr full]],11,3)</f>
        <v>201</v>
      </c>
      <c r="AK317" s="197" t="s">
        <v>1660</v>
      </c>
      <c r="AL317" s="124" t="str">
        <f ca="1">Sprache!$A$111</f>
        <v>Комплект (Л + П)</v>
      </c>
      <c r="AM317" s="187" t="s">
        <v>25</v>
      </c>
      <c r="AN317" s="187" t="str">
        <f ca="1">Sprache!$A$125</f>
        <v>Пружина, стандарт</v>
      </c>
      <c r="AO317" s="187" t="s">
        <v>25</v>
      </c>
      <c r="AP317" s="187" t="s">
        <v>25</v>
      </c>
      <c r="AQ317" s="187">
        <f>Limits!$K$9</f>
        <v>200</v>
      </c>
      <c r="AR317" s="124">
        <v>1200</v>
      </c>
      <c r="AS317" s="187"/>
      <c r="AT317" s="124"/>
    </row>
    <row r="318" spans="1:55" ht="15.75" hidden="1" thickTop="1" x14ac:dyDescent="0.25">
      <c r="A318" s="12" t="str">
        <f ca="1">IF(F318+G318+H318+I318+J318+D318+E318=3,IF(Tabelle2[[#This Row],[Kappe Weiß]]=Limits!$R$29,1,""),"")</f>
        <v/>
      </c>
      <c r="B318" s="12" t="str">
        <f ca="1">IF(G318+H318+I318+J318+E318+F318=2,IF(Tabelle2[[#This Row],[Kappe Weiß]]=Limits!$R$29,1,""),"")</f>
        <v/>
      </c>
      <c r="C318" s="293">
        <v>0</v>
      </c>
      <c r="D318" s="171">
        <f>IF(Limits!$P$8=TRUE,1,0)</f>
        <v>0</v>
      </c>
      <c r="E318" s="172">
        <f>IF(Daten!$P318+Daten!$Q318+Daten!$S318=3,1,0)</f>
        <v>0</v>
      </c>
      <c r="F318" s="173">
        <f ca="1">IF(AND(Limits!$Q$21=TRUE,Daten!O318=1)=TRUE,1,0)</f>
        <v>1</v>
      </c>
      <c r="G318" s="174">
        <f ca="1">IF(AND(Limits!$Q$25=TRUE,Daten!N318=1)=TRUE,1,0)</f>
        <v>0</v>
      </c>
      <c r="H318" s="174">
        <f ca="1">IF(AND(Limits!$Q$24=TRUE,Daten!M318=1)=TRUE,1,0)</f>
        <v>0</v>
      </c>
      <c r="I318" s="174">
        <f ca="1">IF(AND(Limits!$Q$23=TRUE,Daten!L318=1)=TRUE,1,0)</f>
        <v>0</v>
      </c>
      <c r="J318" s="174">
        <f ca="1">IF(AND(Limits!$Q$22=TRUE,Daten!K318=1)=TRUE,1,0)</f>
        <v>0</v>
      </c>
      <c r="K318" s="188">
        <f ca="1">IF(Daten!$V318=13,1,0)</f>
        <v>0</v>
      </c>
      <c r="L318" s="189">
        <f ca="1">IF(Daten!$V318&lt;&gt;Daten!$W318,1,IF(Daten!$V318=14,1,0))</f>
        <v>0</v>
      </c>
      <c r="M318" s="189">
        <f ca="1">IF(Daten!$V318&lt;&gt;Daten!$W318,1,IF(Daten!$V318=16,1,0))</f>
        <v>0</v>
      </c>
      <c r="N318" s="189">
        <f ca="1">IF(Daten!$W318=17,1,0)</f>
        <v>0</v>
      </c>
      <c r="O318" s="190">
        <f ca="1">IF(Daten!$X318=Sprache!$A$70,1,0)</f>
        <v>1</v>
      </c>
      <c r="P318" s="208">
        <f>IF(AND(Daten!$AQ318&lt;=KINVARO!$AW$3,Daten!$AR318&gt;=KINVARO!$AW$3)=TRUE,1,0)</f>
        <v>1</v>
      </c>
      <c r="Q318" s="208">
        <f>IF(AND(Daten!$AA318&lt;=KINVARO!$AW$4,Daten!$AB318&gt;=KINVARO!$AW$4)=TRUE,1,0)</f>
        <v>0</v>
      </c>
      <c r="R318" s="208"/>
      <c r="S318" s="208">
        <f>IF(AND(Daten!$AD318&lt;=Limits!$I$70,Daten!$AE318&gt;=Limits!$I$70)=TRUE,1,0)</f>
        <v>0</v>
      </c>
      <c r="T318" s="212">
        <f ca="1">IF(Daten!$Y318=Sprache!$A$135,1,0)</f>
        <v>1</v>
      </c>
      <c r="U318" s="213" t="str">
        <f ca="1">Sprache!$A$66</f>
        <v>T-71 Поворотный подъемник</v>
      </c>
      <c r="V318" s="212" t="str">
        <f ca="1">Sprache!$A$74</f>
        <v>var</v>
      </c>
      <c r="W318" s="210" t="str">
        <f ca="1">Sprache!$A$74</f>
        <v>var</v>
      </c>
      <c r="X318" s="213" t="str">
        <f ca="1">Sprache!$A$70</f>
        <v>соединение с древесиной</v>
      </c>
      <c r="Y318" s="203" t="str">
        <f ca="1">Sprache!$A$135</f>
        <v>ja</v>
      </c>
      <c r="Z318" s="213" t="str">
        <f ca="1">Sprache!$A$79</f>
        <v>Створка</v>
      </c>
      <c r="AA318" s="213">
        <v>300</v>
      </c>
      <c r="AB318" s="211">
        <v>349</v>
      </c>
      <c r="AC318" s="213"/>
      <c r="AD318" s="214">
        <v>2.1</v>
      </c>
      <c r="AE318" s="215">
        <v>7.4</v>
      </c>
      <c r="AF318" s="269" t="str">
        <f>MID(Tabelle2[[#This Row],[bnr full]],1,4)</f>
        <v>F151</v>
      </c>
      <c r="AG318" s="270" t="str">
        <f>MID(Tabelle2[[#This Row],[bnr full]],5,3)</f>
        <v>147</v>
      </c>
      <c r="AH318" s="271" t="str">
        <f>MID(Tabelle2[[#This Row],[bnr full]],8,3)</f>
        <v>696</v>
      </c>
      <c r="AI318" s="270" t="str">
        <f>MID(Tabelle2[[#This Row],[bnr full]],11,3)</f>
        <v>201</v>
      </c>
      <c r="AJ318" s="254" t="str">
        <f>MID(Tabelle2[[#This Row],[bnr full]],11,3)</f>
        <v>201</v>
      </c>
      <c r="AK318" s="216" t="s">
        <v>798</v>
      </c>
      <c r="AL318" s="211" t="str">
        <f ca="1">Sprache!$A$111</f>
        <v>Комплект (Л + П)</v>
      </c>
      <c r="AM318" s="213" t="s">
        <v>25</v>
      </c>
      <c r="AN318" s="213" t="str">
        <f ca="1">Sprache!$A$127</f>
        <v>Пружина, белая</v>
      </c>
      <c r="AO318" s="187" t="s">
        <v>25</v>
      </c>
      <c r="AP318" s="187" t="s">
        <v>25</v>
      </c>
      <c r="AQ318" s="213">
        <f>Limits!$K$9</f>
        <v>200</v>
      </c>
      <c r="AR318" s="211">
        <v>1200</v>
      </c>
      <c r="AS318" s="187"/>
      <c r="AT318" s="124"/>
      <c r="AU318"/>
      <c r="AV318"/>
      <c r="AY318"/>
      <c r="AZ318"/>
      <c r="BA318"/>
      <c r="BB318"/>
      <c r="BC318"/>
    </row>
    <row r="319" spans="1:55" hidden="1" x14ac:dyDescent="0.25">
      <c r="A319" s="12" t="str">
        <f ca="1">IF(F319+G319+H319+I319+J319+D319+E319=3,IF(Tabelle2[[#This Row],[Kappe Weiß]]=Limits!$R$29,1,""),"")</f>
        <v/>
      </c>
      <c r="B319" s="12" t="str">
        <f ca="1">IF(G319+H319+I319+J319+E319+F319=2,IF(Tabelle2[[#This Row],[Kappe Weiß]]=Limits!$R$29,1,""),"")</f>
        <v/>
      </c>
      <c r="C319" s="291">
        <v>0</v>
      </c>
      <c r="D319" s="171">
        <f>IF(Limits!$P$8=TRUE,1,0)</f>
        <v>0</v>
      </c>
      <c r="E319" s="172">
        <f>IF(Daten!$P319+Daten!$Q319+Daten!$S319=3,1,0)</f>
        <v>0</v>
      </c>
      <c r="F319" s="173">
        <f ca="1">IF(AND(Limits!$Q$21=TRUE,Daten!O319=1)=TRUE,1,0)</f>
        <v>1</v>
      </c>
      <c r="G319" s="174">
        <f ca="1">IF(AND(Limits!$Q$25=TRUE,Daten!N319=1)=TRUE,1,0)</f>
        <v>0</v>
      </c>
      <c r="H319" s="174">
        <f ca="1">IF(AND(Limits!$Q$24=TRUE,Daten!M319=1)=TRUE,1,0)</f>
        <v>0</v>
      </c>
      <c r="I319" s="174">
        <f ca="1">IF(AND(Limits!$Q$23=TRUE,Daten!L319=1)=TRUE,1,0)</f>
        <v>0</v>
      </c>
      <c r="J319" s="174">
        <f ca="1">IF(AND(Limits!$Q$22=TRUE,Daten!K319=1)=TRUE,1,0)</f>
        <v>0</v>
      </c>
      <c r="K319" s="188">
        <f ca="1">IF(Daten!$V319=13,1,0)</f>
        <v>0</v>
      </c>
      <c r="L319" s="189">
        <f ca="1">IF(Daten!$V319&lt;&gt;Daten!$W319,1,IF(Daten!$V319=14,1,0))</f>
        <v>0</v>
      </c>
      <c r="M319" s="189">
        <f ca="1">IF(Daten!$V319&lt;&gt;Daten!$W319,1,IF(Daten!$V319=16,1,0))</f>
        <v>0</v>
      </c>
      <c r="N319" s="189">
        <f ca="1">IF(Daten!$W319=17,1,0)</f>
        <v>0</v>
      </c>
      <c r="O319" s="190">
        <f ca="1">IF(Daten!$X319=Sprache!$A$70,1,0)</f>
        <v>1</v>
      </c>
      <c r="P319" s="191">
        <f>IF(AND(Daten!$AQ319&lt;=KINVARO!$AW$3,Daten!$AR319&gt;=KINVARO!$AW$3)=TRUE,1,0)</f>
        <v>1</v>
      </c>
      <c r="Q319" s="191">
        <f>IF(AND(Daten!$AA319&lt;=KINVARO!$AW$4,Daten!$AB319&gt;=KINVARO!$AW$4)=TRUE,1,0)</f>
        <v>0</v>
      </c>
      <c r="R319" s="191"/>
      <c r="S319" s="191">
        <f>IF(AND(Daten!$AD319&lt;=Limits!$I$70,Daten!$AE319&gt;=Limits!$I$70)=TRUE,1,0)</f>
        <v>0</v>
      </c>
      <c r="T319" s="194">
        <f ca="1">IF(Daten!$Y319=Sprache!$A$135,1,0)</f>
        <v>1</v>
      </c>
      <c r="U319" s="187" t="str">
        <f ca="1">Sprache!$A$66</f>
        <v>T-71 Поворотный подъемник</v>
      </c>
      <c r="V319" s="194" t="str">
        <f ca="1">Sprache!$A$74</f>
        <v>var</v>
      </c>
      <c r="W319" s="193" t="str">
        <f ca="1">Sprache!$A$74</f>
        <v>var</v>
      </c>
      <c r="X319" s="187" t="str">
        <f ca="1">Sprache!$A$70</f>
        <v>соединение с древесиной</v>
      </c>
      <c r="Y319" s="187" t="str">
        <f ca="1">Sprache!$A$135</f>
        <v>ja</v>
      </c>
      <c r="Z319" s="187" t="str">
        <f ca="1">Sprache!$A$79</f>
        <v>Створка</v>
      </c>
      <c r="AA319" s="187">
        <v>300</v>
      </c>
      <c r="AB319" s="124">
        <v>349</v>
      </c>
      <c r="AC319" s="187"/>
      <c r="AD319" s="195">
        <v>2.5</v>
      </c>
      <c r="AE319" s="196">
        <v>8.5</v>
      </c>
      <c r="AF319" s="263" t="str">
        <f>MID(Tabelle2[[#This Row],[bnr full]],1,4)</f>
        <v>F151</v>
      </c>
      <c r="AG319" s="264" t="str">
        <f>MID(Tabelle2[[#This Row],[bnr full]],5,3)</f>
        <v>147</v>
      </c>
      <c r="AH319" s="265" t="str">
        <f>MID(Tabelle2[[#This Row],[bnr full]],8,3)</f>
        <v>696</v>
      </c>
      <c r="AI319" s="264" t="str">
        <f>MID(Tabelle2[[#This Row],[bnr full]],11,3)</f>
        <v>201</v>
      </c>
      <c r="AJ319" s="252" t="str">
        <f>MID(Tabelle2[[#This Row],[bnr full]],11,3)</f>
        <v>201</v>
      </c>
      <c r="AK319" s="197" t="s">
        <v>798</v>
      </c>
      <c r="AL319" s="124" t="str">
        <f ca="1">Sprache!$A$111</f>
        <v>Комплект (Л + П)</v>
      </c>
      <c r="AM319" s="187" t="s">
        <v>25</v>
      </c>
      <c r="AN319" s="187" t="str">
        <f ca="1">Sprache!$A$128</f>
        <v>Пружина, оранжевая</v>
      </c>
      <c r="AO319" s="187" t="s">
        <v>25</v>
      </c>
      <c r="AP319" s="187" t="s">
        <v>25</v>
      </c>
      <c r="AQ319" s="187">
        <f>Limits!$K$9</f>
        <v>200</v>
      </c>
      <c r="AR319" s="124">
        <v>1200</v>
      </c>
      <c r="AS319" s="187"/>
      <c r="AT319" s="124"/>
      <c r="AU319"/>
      <c r="AV319"/>
      <c r="AY319"/>
      <c r="AZ319"/>
      <c r="BA319"/>
      <c r="BB319"/>
      <c r="BC319"/>
    </row>
    <row r="320" spans="1:55" hidden="1" x14ac:dyDescent="0.25">
      <c r="A320" s="12" t="str">
        <f ca="1">IF(F320+G320+H320+I320+J320+D320+E320=3,IF(Tabelle2[[#This Row],[Kappe Weiß]]=Limits!$R$29,1,""),"")</f>
        <v/>
      </c>
      <c r="B320" s="12" t="str">
        <f ca="1">IF(G320+H320+I320+J320+E320+F320=2,IF(Tabelle2[[#This Row],[Kappe Weiß]]=Limits!$R$29,1,""),"")</f>
        <v/>
      </c>
      <c r="C320" s="291">
        <v>0</v>
      </c>
      <c r="D320" s="171">
        <f>IF(Limits!$P$8=TRUE,1,0)</f>
        <v>0</v>
      </c>
      <c r="E320" s="172">
        <f>IF(Daten!$P320+Daten!$Q320+Daten!$S320=3,1,0)</f>
        <v>0</v>
      </c>
      <c r="F320" s="173">
        <f ca="1">IF(AND(Limits!$Q$21=TRUE,Daten!O320=1)=TRUE,1,0)</f>
        <v>0</v>
      </c>
      <c r="G320" s="174">
        <f>IF(AND(Limits!$Q$25=TRUE,Daten!N320=1)=TRUE,1,0)</f>
        <v>0</v>
      </c>
      <c r="H320" s="174">
        <f>IF(AND(Limits!$Q$24=TRUE,Daten!M320=1)=TRUE,1,0)</f>
        <v>0</v>
      </c>
      <c r="I320" s="174">
        <f>IF(AND(Limits!$Q$23=TRUE,Daten!L320=1)=TRUE,1,0)</f>
        <v>0</v>
      </c>
      <c r="J320" s="174">
        <f>IF(AND(Limits!$Q$22=TRUE,Daten!K320=1)=TRUE,1,0)</f>
        <v>0</v>
      </c>
      <c r="K320" s="188">
        <f>IF(Daten!$V320=13,1,0)</f>
        <v>1</v>
      </c>
      <c r="L320" s="189">
        <f>IF(Daten!$V320&lt;&gt;Daten!$W320,1,IF(Daten!$V320=14,1,0))</f>
        <v>1</v>
      </c>
      <c r="M320" s="189">
        <f>IF(Daten!$V320&lt;&gt;Daten!$W320,1,IF(Daten!$V320=16,1,0))</f>
        <v>1</v>
      </c>
      <c r="N320" s="189">
        <f>IF(Daten!$W320=17,1,0)</f>
        <v>1</v>
      </c>
      <c r="O320" s="190">
        <f ca="1">IF(Daten!$X320=Sprache!$A$70,1,0)</f>
        <v>0</v>
      </c>
      <c r="P320" s="191">
        <f>IF(AND(Daten!$AQ320&lt;=KINVARO!$AW$3,Daten!$AR320&gt;=KINVARO!$AW$3)=TRUE,1,0)</f>
        <v>1</v>
      </c>
      <c r="Q320" s="191">
        <f>IF(AND(Daten!$AA320&lt;=KINVARO!$AW$4,Daten!$AB320&gt;=KINVARO!$AW$4)=TRUE,1,0)</f>
        <v>0</v>
      </c>
      <c r="R320" s="191"/>
      <c r="S320" s="191">
        <f>IF(AND(Daten!$AD320&lt;=Limits!$I$70,Daten!$AE320&gt;=Limits!$I$70)=TRUE,1,0)</f>
        <v>0</v>
      </c>
      <c r="T320" s="194">
        <f ca="1">IF(Daten!$Y320=Sprache!$A$135,1,0)</f>
        <v>1</v>
      </c>
      <c r="U320" s="187" t="str">
        <f ca="1">Sprache!$A$66</f>
        <v>T-71 Поворотный подъемник</v>
      </c>
      <c r="V320" s="194">
        <v>13</v>
      </c>
      <c r="W320" s="193">
        <v>17</v>
      </c>
      <c r="X320" s="187" t="str">
        <f ca="1">Sprache!$A$142</f>
        <v>Alu (Rahmen 19mm)</v>
      </c>
      <c r="Y320" s="187" t="str">
        <f ca="1">Sprache!$A$135</f>
        <v>ja</v>
      </c>
      <c r="Z320" s="187" t="str">
        <f ca="1">Sprache!$A$79</f>
        <v>Створка</v>
      </c>
      <c r="AA320" s="187">
        <v>300</v>
      </c>
      <c r="AB320" s="124">
        <v>349</v>
      </c>
      <c r="AC320" s="187"/>
      <c r="AD320" s="195">
        <v>2.1</v>
      </c>
      <c r="AE320" s="196">
        <v>7.4</v>
      </c>
      <c r="AF320" s="263" t="str">
        <f>MID(Tabelle2[[#This Row],[bnr full]],1,4)</f>
        <v>F151</v>
      </c>
      <c r="AG320" s="264" t="str">
        <f>MID(Tabelle2[[#This Row],[bnr full]],5,3)</f>
        <v>147</v>
      </c>
      <c r="AH320" s="265" t="str">
        <f>MID(Tabelle2[[#This Row],[bnr full]],8,3)</f>
        <v>696</v>
      </c>
      <c r="AI320" s="264" t="str">
        <f>MID(Tabelle2[[#This Row],[bnr full]],11,3)</f>
        <v>201</v>
      </c>
      <c r="AJ320" s="252" t="str">
        <f>MID(Tabelle2[[#This Row],[bnr full]],11,3)</f>
        <v>201</v>
      </c>
      <c r="AK320" s="197" t="s">
        <v>798</v>
      </c>
      <c r="AL320" s="124" t="str">
        <f ca="1">Sprache!$A$111</f>
        <v>Комплект (Л + П)</v>
      </c>
      <c r="AM320" s="187" t="s">
        <v>25</v>
      </c>
      <c r="AN320" s="187" t="str">
        <f ca="1">Sprache!$A$127</f>
        <v>Пружина, белая</v>
      </c>
      <c r="AO320" s="187" t="str">
        <f ca="1">Sprache!$A$146</f>
        <v>Адаптер под алюминиевые рамки к комплекту Kinvaro T-71</v>
      </c>
      <c r="AP320" s="187" t="s">
        <v>820</v>
      </c>
      <c r="AQ320" s="187">
        <f>Limits!$K$9</f>
        <v>200</v>
      </c>
      <c r="AR320" s="124">
        <v>1200</v>
      </c>
      <c r="AS320" s="187"/>
      <c r="AT320" s="124"/>
      <c r="AU320"/>
      <c r="AV320"/>
      <c r="AY320"/>
      <c r="AZ320"/>
      <c r="BA320"/>
      <c r="BB320"/>
      <c r="BC320"/>
    </row>
    <row r="321" spans="1:55" hidden="1" x14ac:dyDescent="0.25">
      <c r="A321" s="12" t="str">
        <f ca="1">IF(F321+G321+H321+I321+J321+D321+E321=3,IF(Tabelle2[[#This Row],[Kappe Weiß]]=Limits!$R$29,1,""),"")</f>
        <v/>
      </c>
      <c r="B321" s="12" t="str">
        <f ca="1">IF(G321+H321+I321+J321+E321+F321=2,IF(Tabelle2[[#This Row],[Kappe Weiß]]=Limits!$R$29,1,""),"")</f>
        <v/>
      </c>
      <c r="C321" s="291">
        <v>0</v>
      </c>
      <c r="D321" s="171">
        <f>IF(Limits!$P$8=TRUE,1,0)</f>
        <v>0</v>
      </c>
      <c r="E321" s="172">
        <f>IF(Daten!$P321+Daten!$Q321+Daten!$S321=3,1,0)</f>
        <v>0</v>
      </c>
      <c r="F321" s="173">
        <f ca="1">IF(AND(Limits!$Q$21=TRUE,Daten!O321=1)=TRUE,1,0)</f>
        <v>0</v>
      </c>
      <c r="G321" s="174">
        <f>IF(AND(Limits!$Q$25=TRUE,Daten!N321=1)=TRUE,1,0)</f>
        <v>0</v>
      </c>
      <c r="H321" s="174">
        <f>IF(AND(Limits!$Q$24=TRUE,Daten!M321=1)=TRUE,1,0)</f>
        <v>0</v>
      </c>
      <c r="I321" s="174">
        <f>IF(AND(Limits!$Q$23=TRUE,Daten!L321=1)=TRUE,1,0)</f>
        <v>0</v>
      </c>
      <c r="J321" s="174">
        <f>IF(AND(Limits!$Q$22=TRUE,Daten!K321=1)=TRUE,1,0)</f>
        <v>0</v>
      </c>
      <c r="K321" s="188">
        <f>IF(Daten!$V321=13,1,0)</f>
        <v>1</v>
      </c>
      <c r="L321" s="189">
        <f>IF(Daten!$V321&lt;&gt;Daten!$W321,1,IF(Daten!$V321=14,1,0))</f>
        <v>1</v>
      </c>
      <c r="M321" s="189">
        <f>IF(Daten!$V321&lt;&gt;Daten!$W321,1,IF(Daten!$V321=16,1,0))</f>
        <v>1</v>
      </c>
      <c r="N321" s="189">
        <f>IF(Daten!$W321=17,1,0)</f>
        <v>1</v>
      </c>
      <c r="O321" s="190">
        <f ca="1">IF(Daten!$X321=Sprache!$A$70,1,0)</f>
        <v>0</v>
      </c>
      <c r="P321" s="191">
        <f>IF(AND(Daten!$AQ321&lt;=KINVARO!$AW$3,Daten!$AR321&gt;=KINVARO!$AW$3)=TRUE,1,0)</f>
        <v>1</v>
      </c>
      <c r="Q321" s="191">
        <f>IF(AND(Daten!$AA321&lt;=KINVARO!$AW$4,Daten!$AB321&gt;=KINVARO!$AW$4)=TRUE,1,0)</f>
        <v>0</v>
      </c>
      <c r="R321" s="191"/>
      <c r="S321" s="191">
        <f>IF(AND(Daten!$AD321&lt;=Limits!$I$70,Daten!$AE321&gt;=Limits!$I$70)=TRUE,1,0)</f>
        <v>0</v>
      </c>
      <c r="T321" s="194">
        <f ca="1">IF(Daten!$Y321=Sprache!$A$135,1,0)</f>
        <v>1</v>
      </c>
      <c r="U321" s="187" t="str">
        <f ca="1">Sprache!$A$66</f>
        <v>T-71 Поворотный подъемник</v>
      </c>
      <c r="V321" s="194">
        <v>13</v>
      </c>
      <c r="W321" s="193">
        <v>17</v>
      </c>
      <c r="X321" s="187" t="str">
        <f ca="1">Sprache!$A$142</f>
        <v>Alu (Rahmen 19mm)</v>
      </c>
      <c r="Y321" s="187" t="str">
        <f ca="1">Sprache!$A$135</f>
        <v>ja</v>
      </c>
      <c r="Z321" s="187" t="str">
        <f ca="1">Sprache!$A$79</f>
        <v>Створка</v>
      </c>
      <c r="AA321" s="187">
        <v>300</v>
      </c>
      <c r="AB321" s="124">
        <v>349</v>
      </c>
      <c r="AC321" s="187"/>
      <c r="AD321" s="195">
        <v>2.5</v>
      </c>
      <c r="AE321" s="196">
        <v>8.5</v>
      </c>
      <c r="AF321" s="263" t="str">
        <f>MID(Tabelle2[[#This Row],[bnr full]],1,4)</f>
        <v>F151</v>
      </c>
      <c r="AG321" s="264" t="str">
        <f>MID(Tabelle2[[#This Row],[bnr full]],5,3)</f>
        <v>147</v>
      </c>
      <c r="AH321" s="265" t="str">
        <f>MID(Tabelle2[[#This Row],[bnr full]],8,3)</f>
        <v>696</v>
      </c>
      <c r="AI321" s="264" t="str">
        <f>MID(Tabelle2[[#This Row],[bnr full]],11,3)</f>
        <v>201</v>
      </c>
      <c r="AJ321" s="252" t="str">
        <f>MID(Tabelle2[[#This Row],[bnr full]],11,3)</f>
        <v>201</v>
      </c>
      <c r="AK321" s="197" t="s">
        <v>798</v>
      </c>
      <c r="AL321" s="124" t="str">
        <f ca="1">Sprache!$A$111</f>
        <v>Комплект (Л + П)</v>
      </c>
      <c r="AM321" s="187" t="s">
        <v>25</v>
      </c>
      <c r="AN321" s="187" t="str">
        <f ca="1">Sprache!$A$128</f>
        <v>Пружина, оранжевая</v>
      </c>
      <c r="AO321" s="187" t="str">
        <f ca="1">Sprache!$A$146</f>
        <v>Адаптер под алюминиевые рамки к комплекту Kinvaro T-71</v>
      </c>
      <c r="AP321" s="225" t="s">
        <v>821</v>
      </c>
      <c r="AQ321" s="187">
        <f>Limits!$K$9</f>
        <v>200</v>
      </c>
      <c r="AR321" s="124">
        <v>1200</v>
      </c>
      <c r="AS321" s="187"/>
      <c r="AT321" s="124"/>
      <c r="AU321"/>
      <c r="AV321"/>
      <c r="AY321"/>
      <c r="AZ321"/>
      <c r="BA321"/>
      <c r="BB321"/>
      <c r="BC321"/>
    </row>
    <row r="322" spans="1:55" hidden="1" x14ac:dyDescent="0.25">
      <c r="A322" s="12" t="str">
        <f ca="1">IF(F322+G322+H322+I322+J322+D322+E322=3,IF(Tabelle2[[#This Row],[Kappe Weiß]]=Limits!$R$29,1,""),"")</f>
        <v/>
      </c>
      <c r="B322" s="12" t="str">
        <f ca="1">IF(G322+H322+I322+J322+E322+F322=2,IF(Tabelle2[[#This Row],[Kappe Weiß]]=Limits!$R$29,1,""),"")</f>
        <v/>
      </c>
      <c r="C322" s="292">
        <v>0</v>
      </c>
      <c r="D322" s="171">
        <f>IF(Limits!$P$8=TRUE,1,0)</f>
        <v>0</v>
      </c>
      <c r="E322" s="172">
        <f>IF(Daten!$P322+Daten!$Q322+Daten!$S322=3,1,0)</f>
        <v>0</v>
      </c>
      <c r="F322" s="173">
        <f ca="1">IF(AND(Limits!$Q$21=TRUE,Daten!O322=1)=TRUE,1,0)</f>
        <v>1</v>
      </c>
      <c r="G322" s="174">
        <f ca="1">IF(AND(Limits!$Q$25=TRUE,Daten!N322=1)=TRUE,1,0)</f>
        <v>0</v>
      </c>
      <c r="H322" s="174">
        <f ca="1">IF(AND(Limits!$Q$24=TRUE,Daten!M322=1)=TRUE,1,0)</f>
        <v>0</v>
      </c>
      <c r="I322" s="174">
        <f ca="1">IF(AND(Limits!$Q$23=TRUE,Daten!L322=1)=TRUE,1,0)</f>
        <v>0</v>
      </c>
      <c r="J322" s="174">
        <f ca="1">IF(AND(Limits!$Q$22=TRUE,Daten!K322=1)=TRUE,1,0)</f>
        <v>0</v>
      </c>
      <c r="K322" s="188">
        <f ca="1">IF(Daten!$V322=13,1,0)</f>
        <v>0</v>
      </c>
      <c r="L322" s="189">
        <f ca="1">IF(Daten!$V322&lt;&gt;Daten!$W322,1,IF(Daten!$V322=14,1,0))</f>
        <v>0</v>
      </c>
      <c r="M322" s="189">
        <f ca="1">IF(Daten!$V322&lt;&gt;Daten!$W322,1,IF(Daten!$V322=16,1,0))</f>
        <v>0</v>
      </c>
      <c r="N322" s="189">
        <f ca="1">IF(Daten!$W322=17,1,0)</f>
        <v>0</v>
      </c>
      <c r="O322" s="190">
        <f ca="1">IF(Daten!$X322=Sprache!$A$70,1,0)</f>
        <v>1</v>
      </c>
      <c r="P322" s="198">
        <f>IF(AND(Daten!$AQ322&lt;=KINVARO!$AW$3,Daten!$AR322&gt;=KINVARO!$AW$3)=TRUE,1,0)</f>
        <v>1</v>
      </c>
      <c r="Q322" s="198">
        <f>IF(AND(Daten!$AA322&lt;=KINVARO!$AW$4,Daten!$AB322&gt;=KINVARO!$AW$4)=TRUE,1,0)</f>
        <v>0</v>
      </c>
      <c r="R322" s="198"/>
      <c r="S322" s="198">
        <f>IF(AND(Daten!$AD322&lt;=Limits!$I$70,Daten!$AE322&gt;=Limits!$I$70)=TRUE,1,0)</f>
        <v>0</v>
      </c>
      <c r="T322" s="202">
        <f ca="1">IF(Daten!$Y322=Sprache!$A$135,1,0)</f>
        <v>1</v>
      </c>
      <c r="U322" s="203" t="str">
        <f ca="1">Sprache!$A$66</f>
        <v>T-71 Поворотный подъемник</v>
      </c>
      <c r="V322" s="202" t="str">
        <f ca="1">Sprache!$A$74</f>
        <v>var</v>
      </c>
      <c r="W322" s="200" t="str">
        <f ca="1">Sprache!$A$74</f>
        <v>var</v>
      </c>
      <c r="X322" s="203" t="str">
        <f ca="1">Sprache!$A$70</f>
        <v>соединение с древесиной</v>
      </c>
      <c r="Y322" s="203" t="str">
        <f ca="1">Sprache!$A$135</f>
        <v>ja</v>
      </c>
      <c r="Z322" s="203" t="str">
        <f ca="1">Sprache!$A$79</f>
        <v>Створка</v>
      </c>
      <c r="AA322" s="203">
        <v>350</v>
      </c>
      <c r="AB322" s="201">
        <v>399</v>
      </c>
      <c r="AC322" s="203"/>
      <c r="AD322" s="204">
        <v>1.8</v>
      </c>
      <c r="AE322" s="205">
        <v>6.3</v>
      </c>
      <c r="AF322" s="266" t="str">
        <f>MID(Tabelle2[[#This Row],[bnr full]],1,4)</f>
        <v>F151</v>
      </c>
      <c r="AG322" s="267" t="str">
        <f>MID(Tabelle2[[#This Row],[bnr full]],5,3)</f>
        <v>147</v>
      </c>
      <c r="AH322" s="268" t="str">
        <f>MID(Tabelle2[[#This Row],[bnr full]],8,3)</f>
        <v>696</v>
      </c>
      <c r="AI322" s="267" t="str">
        <f>MID(Tabelle2[[#This Row],[bnr full]],11,3)</f>
        <v>201</v>
      </c>
      <c r="AJ322" s="253" t="str">
        <f>MID(Tabelle2[[#This Row],[bnr full]],11,3)</f>
        <v>201</v>
      </c>
      <c r="AK322" s="206" t="s">
        <v>798</v>
      </c>
      <c r="AL322" s="201" t="str">
        <f ca="1">Sprache!$A$111</f>
        <v>Комплект (Л + П)</v>
      </c>
      <c r="AM322" s="203" t="s">
        <v>25</v>
      </c>
      <c r="AN322" s="203" t="str">
        <f ca="1">Sprache!$A$127</f>
        <v>Пружина, белая</v>
      </c>
      <c r="AO322" s="203" t="s">
        <v>25</v>
      </c>
      <c r="AP322" s="203" t="s">
        <v>25</v>
      </c>
      <c r="AQ322" s="203">
        <f>Limits!$K$9</f>
        <v>200</v>
      </c>
      <c r="AR322" s="201">
        <v>1200</v>
      </c>
      <c r="AS322" s="187"/>
      <c r="AT322" s="124"/>
      <c r="AU322"/>
      <c r="AV322"/>
      <c r="AY322"/>
      <c r="AZ322"/>
      <c r="BA322"/>
      <c r="BB322"/>
      <c r="BC322"/>
    </row>
    <row r="323" spans="1:55" hidden="1" x14ac:dyDescent="0.25">
      <c r="A323" s="12" t="str">
        <f ca="1">IF(F323+G323+H323+I323+J323+D323+E323=3,IF(Tabelle2[[#This Row],[Kappe Weiß]]=Limits!$R$29,1,""),"")</f>
        <v/>
      </c>
      <c r="B323" s="12" t="str">
        <f ca="1">IF(G323+H323+I323+J323+E323+F323=2,IF(Tabelle2[[#This Row],[Kappe Weiß]]=Limits!$R$29,1,""),"")</f>
        <v/>
      </c>
      <c r="C323" s="291">
        <v>0</v>
      </c>
      <c r="D323" s="171">
        <f>IF(Limits!$P$8=TRUE,1,0)</f>
        <v>0</v>
      </c>
      <c r="E323" s="172">
        <f>IF(Daten!$P323+Daten!$Q323+Daten!$S323=3,1,0)</f>
        <v>0</v>
      </c>
      <c r="F323" s="173">
        <f ca="1">IF(AND(Limits!$Q$21=TRUE,Daten!O323=1)=TRUE,1,0)</f>
        <v>1</v>
      </c>
      <c r="G323" s="174">
        <f ca="1">IF(AND(Limits!$Q$25=TRUE,Daten!N323=1)=TRUE,1,0)</f>
        <v>0</v>
      </c>
      <c r="H323" s="174">
        <f ca="1">IF(AND(Limits!$Q$24=TRUE,Daten!M323=1)=TRUE,1,0)</f>
        <v>0</v>
      </c>
      <c r="I323" s="174">
        <f ca="1">IF(AND(Limits!$Q$23=TRUE,Daten!L323=1)=TRUE,1,0)</f>
        <v>0</v>
      </c>
      <c r="J323" s="174">
        <f ca="1">IF(AND(Limits!$Q$22=TRUE,Daten!K323=1)=TRUE,1,0)</f>
        <v>0</v>
      </c>
      <c r="K323" s="188">
        <f ca="1">IF(Daten!$V323=13,1,0)</f>
        <v>0</v>
      </c>
      <c r="L323" s="189">
        <f ca="1">IF(Daten!$V323&lt;&gt;Daten!$W323,1,IF(Daten!$V323=14,1,0))</f>
        <v>0</v>
      </c>
      <c r="M323" s="189">
        <f ca="1">IF(Daten!$V323&lt;&gt;Daten!$W323,1,IF(Daten!$V323=16,1,0))</f>
        <v>0</v>
      </c>
      <c r="N323" s="189">
        <f ca="1">IF(Daten!$W323=17,1,0)</f>
        <v>0</v>
      </c>
      <c r="O323" s="190">
        <f ca="1">IF(Daten!$X323=Sprache!$A$70,1,0)</f>
        <v>1</v>
      </c>
      <c r="P323" s="191">
        <f>IF(AND(Daten!$AQ323&lt;=KINVARO!$AW$3,Daten!$AR323&gt;=KINVARO!$AW$3)=TRUE,1,0)</f>
        <v>1</v>
      </c>
      <c r="Q323" s="191">
        <f>IF(AND(Daten!$AA323&lt;=KINVARO!$AW$4,Daten!$AB323&gt;=KINVARO!$AW$4)=TRUE,1,0)</f>
        <v>0</v>
      </c>
      <c r="R323" s="191"/>
      <c r="S323" s="191">
        <f>IF(AND(Daten!$AD323&lt;=Limits!$I$70,Daten!$AE323&gt;=Limits!$I$70)=TRUE,1,0)</f>
        <v>0</v>
      </c>
      <c r="T323" s="194">
        <f ca="1">IF(Daten!$Y323=Sprache!$A$135,1,0)</f>
        <v>1</v>
      </c>
      <c r="U323" s="187" t="str">
        <f ca="1">Sprache!$A$66</f>
        <v>T-71 Поворотный подъемник</v>
      </c>
      <c r="V323" s="194" t="str">
        <f ca="1">Sprache!$A$74</f>
        <v>var</v>
      </c>
      <c r="W323" s="193" t="str">
        <f ca="1">Sprache!$A$74</f>
        <v>var</v>
      </c>
      <c r="X323" s="187" t="str">
        <f ca="1">Sprache!$A$70</f>
        <v>соединение с древесиной</v>
      </c>
      <c r="Y323" s="187" t="str">
        <f ca="1">Sprache!$A$135</f>
        <v>ja</v>
      </c>
      <c r="Z323" s="187" t="str">
        <f ca="1">Sprache!$A$79</f>
        <v>Створка</v>
      </c>
      <c r="AA323" s="187">
        <v>350</v>
      </c>
      <c r="AB323" s="124">
        <v>399</v>
      </c>
      <c r="AC323" s="187"/>
      <c r="AD323" s="195">
        <v>2.2999999999999998</v>
      </c>
      <c r="AE323" s="196">
        <v>7.5</v>
      </c>
      <c r="AF323" s="263" t="str">
        <f>MID(Tabelle2[[#This Row],[bnr full]],1,4)</f>
        <v>F151</v>
      </c>
      <c r="AG323" s="264" t="str">
        <f>MID(Tabelle2[[#This Row],[bnr full]],5,3)</f>
        <v>147</v>
      </c>
      <c r="AH323" s="265" t="str">
        <f>MID(Tabelle2[[#This Row],[bnr full]],8,3)</f>
        <v>696</v>
      </c>
      <c r="AI323" s="264" t="str">
        <f>MID(Tabelle2[[#This Row],[bnr full]],11,3)</f>
        <v>201</v>
      </c>
      <c r="AJ323" s="252" t="str">
        <f>MID(Tabelle2[[#This Row],[bnr full]],11,3)</f>
        <v>201</v>
      </c>
      <c r="AK323" s="197" t="s">
        <v>798</v>
      </c>
      <c r="AL323" s="124" t="str">
        <f ca="1">Sprache!$A$111</f>
        <v>Комплект (Л + П)</v>
      </c>
      <c r="AM323" s="187" t="s">
        <v>25</v>
      </c>
      <c r="AN323" s="187" t="str">
        <f ca="1">Sprache!$A$128</f>
        <v>Пружина, оранжевая</v>
      </c>
      <c r="AO323" s="187" t="s">
        <v>25</v>
      </c>
      <c r="AP323" s="187" t="s">
        <v>25</v>
      </c>
      <c r="AQ323" s="187">
        <f>Limits!$K$9</f>
        <v>200</v>
      </c>
      <c r="AR323" s="124">
        <v>1200</v>
      </c>
      <c r="AS323" s="187"/>
      <c r="AT323" s="124"/>
      <c r="AU323"/>
      <c r="AV323"/>
      <c r="AY323"/>
      <c r="AZ323"/>
      <c r="BA323"/>
      <c r="BB323"/>
      <c r="BC323"/>
    </row>
    <row r="324" spans="1:55" hidden="1" x14ac:dyDescent="0.25">
      <c r="A324" s="12" t="str">
        <f ca="1">IF(F324+G324+H324+I324+J324+D324+E324=3,IF(Tabelle2[[#This Row],[Kappe Weiß]]=Limits!$R$29,1,""),"")</f>
        <v/>
      </c>
      <c r="B324" s="12" t="str">
        <f ca="1">IF(G324+H324+I324+J324+E324+F324=2,IF(Tabelle2[[#This Row],[Kappe Weiß]]=Limits!$R$29,1,""),"")</f>
        <v/>
      </c>
      <c r="C324" s="291">
        <v>0</v>
      </c>
      <c r="D324" s="171">
        <f>IF(Limits!$P$8=TRUE,1,0)</f>
        <v>0</v>
      </c>
      <c r="E324" s="172">
        <f>IF(Daten!$P324+Daten!$Q324+Daten!$S324=3,1,0)</f>
        <v>0</v>
      </c>
      <c r="F324" s="173">
        <f ca="1">IF(AND(Limits!$Q$21=TRUE,Daten!O324=1)=TRUE,1,0)</f>
        <v>0</v>
      </c>
      <c r="G324" s="174">
        <f>IF(AND(Limits!$Q$25=TRUE,Daten!N324=1)=TRUE,1,0)</f>
        <v>0</v>
      </c>
      <c r="H324" s="174">
        <f>IF(AND(Limits!$Q$24=TRUE,Daten!M324=1)=TRUE,1,0)</f>
        <v>0</v>
      </c>
      <c r="I324" s="174">
        <f>IF(AND(Limits!$Q$23=TRUE,Daten!L324=1)=TRUE,1,0)</f>
        <v>0</v>
      </c>
      <c r="J324" s="174">
        <f>IF(AND(Limits!$Q$22=TRUE,Daten!K324=1)=TRUE,1,0)</f>
        <v>0</v>
      </c>
      <c r="K324" s="188">
        <f>IF(Daten!$V324=13,1,0)</f>
        <v>1</v>
      </c>
      <c r="L324" s="189">
        <f>IF(Daten!$V324&lt;&gt;Daten!$W324,1,IF(Daten!$V324=14,1,0))</f>
        <v>1</v>
      </c>
      <c r="M324" s="189">
        <f>IF(Daten!$V324&lt;&gt;Daten!$W324,1,IF(Daten!$V324=16,1,0))</f>
        <v>1</v>
      </c>
      <c r="N324" s="189">
        <f>IF(Daten!$W324=17,1,0)</f>
        <v>1</v>
      </c>
      <c r="O324" s="190">
        <f ca="1">IF(Daten!$X324=Sprache!$A$70,1,0)</f>
        <v>0</v>
      </c>
      <c r="P324" s="191">
        <f>IF(AND(Daten!$AQ324&lt;=KINVARO!$AW$3,Daten!$AR324&gt;=KINVARO!$AW$3)=TRUE,1,0)</f>
        <v>1</v>
      </c>
      <c r="Q324" s="191">
        <f>IF(AND(Daten!$AA324&lt;=KINVARO!$AW$4,Daten!$AB324&gt;=KINVARO!$AW$4)=TRUE,1,0)</f>
        <v>0</v>
      </c>
      <c r="R324" s="191"/>
      <c r="S324" s="191">
        <f>IF(AND(Daten!$AD324&lt;=Limits!$I$70,Daten!$AE324&gt;=Limits!$I$70)=TRUE,1,0)</f>
        <v>0</v>
      </c>
      <c r="T324" s="194">
        <f ca="1">IF(Daten!$Y324=Sprache!$A$135,1,0)</f>
        <v>1</v>
      </c>
      <c r="U324" s="187" t="str">
        <f ca="1">Sprache!$A$66</f>
        <v>T-71 Поворотный подъемник</v>
      </c>
      <c r="V324" s="194">
        <v>13</v>
      </c>
      <c r="W324" s="193">
        <v>17</v>
      </c>
      <c r="X324" s="187" t="str">
        <f ca="1">Sprache!$A$142</f>
        <v>Alu (Rahmen 19mm)</v>
      </c>
      <c r="Y324" s="187" t="str">
        <f ca="1">Sprache!$A$135</f>
        <v>ja</v>
      </c>
      <c r="Z324" s="187" t="str">
        <f ca="1">Sprache!$A$79</f>
        <v>Створка</v>
      </c>
      <c r="AA324" s="187">
        <v>350</v>
      </c>
      <c r="AB324" s="124">
        <v>399</v>
      </c>
      <c r="AC324" s="187"/>
      <c r="AD324" s="195">
        <v>1.8</v>
      </c>
      <c r="AE324" s="196">
        <v>6.3</v>
      </c>
      <c r="AF324" s="263" t="str">
        <f>MID(Tabelle2[[#This Row],[bnr full]],1,4)</f>
        <v>F151</v>
      </c>
      <c r="AG324" s="264" t="str">
        <f>MID(Tabelle2[[#This Row],[bnr full]],5,3)</f>
        <v>147</v>
      </c>
      <c r="AH324" s="265" t="str">
        <f>MID(Tabelle2[[#This Row],[bnr full]],8,3)</f>
        <v>696</v>
      </c>
      <c r="AI324" s="264" t="str">
        <f>MID(Tabelle2[[#This Row],[bnr full]],11,3)</f>
        <v>201</v>
      </c>
      <c r="AJ324" s="252" t="str">
        <f>MID(Tabelle2[[#This Row],[bnr full]],11,3)</f>
        <v>201</v>
      </c>
      <c r="AK324" s="197" t="s">
        <v>798</v>
      </c>
      <c r="AL324" s="124" t="str">
        <f ca="1">Sprache!$A$111</f>
        <v>Комплект (Л + П)</v>
      </c>
      <c r="AM324" s="187" t="s">
        <v>25</v>
      </c>
      <c r="AN324" s="187" t="str">
        <f ca="1">Sprache!$A$127</f>
        <v>Пружина, белая</v>
      </c>
      <c r="AO324" s="187" t="str">
        <f ca="1">Sprache!$A$146</f>
        <v>Адаптер под алюминиевые рамки к комплекту Kinvaro T-71</v>
      </c>
      <c r="AP324" s="225" t="s">
        <v>821</v>
      </c>
      <c r="AQ324" s="187">
        <f>Limits!$K$9</f>
        <v>200</v>
      </c>
      <c r="AR324" s="124">
        <v>1200</v>
      </c>
      <c r="AS324" s="187"/>
      <c r="AT324" s="124"/>
      <c r="AU324"/>
      <c r="AV324"/>
      <c r="AY324"/>
      <c r="AZ324"/>
      <c r="BA324"/>
      <c r="BB324"/>
      <c r="BC324"/>
    </row>
    <row r="325" spans="1:55" hidden="1" x14ac:dyDescent="0.25">
      <c r="A325" s="12" t="str">
        <f ca="1">IF(F325+G325+H325+I325+J325+D325+E325=3,IF(Tabelle2[[#This Row],[Kappe Weiß]]=Limits!$R$29,1,""),"")</f>
        <v/>
      </c>
      <c r="B325" s="12" t="str">
        <f ca="1">IF(G325+H325+I325+J325+E325+F325=2,IF(Tabelle2[[#This Row],[Kappe Weiß]]=Limits!$R$29,1,""),"")</f>
        <v/>
      </c>
      <c r="C325" s="291">
        <v>0</v>
      </c>
      <c r="D325" s="171">
        <f>IF(Limits!$P$8=TRUE,1,0)</f>
        <v>0</v>
      </c>
      <c r="E325" s="172">
        <f>IF(Daten!$P325+Daten!$Q325+Daten!$S325=3,1,0)</f>
        <v>0</v>
      </c>
      <c r="F325" s="173">
        <f ca="1">IF(AND(Limits!$Q$21=TRUE,Daten!O325=1)=TRUE,1,0)</f>
        <v>0</v>
      </c>
      <c r="G325" s="174">
        <f>IF(AND(Limits!$Q$25=TRUE,Daten!N325=1)=TRUE,1,0)</f>
        <v>0</v>
      </c>
      <c r="H325" s="174">
        <f>IF(AND(Limits!$Q$24=TRUE,Daten!M325=1)=TRUE,1,0)</f>
        <v>0</v>
      </c>
      <c r="I325" s="174">
        <f>IF(AND(Limits!$Q$23=TRUE,Daten!L325=1)=TRUE,1,0)</f>
        <v>0</v>
      </c>
      <c r="J325" s="174">
        <f>IF(AND(Limits!$Q$22=TRUE,Daten!K325=1)=TRUE,1,0)</f>
        <v>0</v>
      </c>
      <c r="K325" s="188">
        <f>IF(Daten!$V325=13,1,0)</f>
        <v>1</v>
      </c>
      <c r="L325" s="189">
        <f>IF(Daten!$V325&lt;&gt;Daten!$W325,1,IF(Daten!$V325=14,1,0))</f>
        <v>1</v>
      </c>
      <c r="M325" s="189">
        <f>IF(Daten!$V325&lt;&gt;Daten!$W325,1,IF(Daten!$V325=16,1,0))</f>
        <v>1</v>
      </c>
      <c r="N325" s="189">
        <f>IF(Daten!$W325=17,1,0)</f>
        <v>1</v>
      </c>
      <c r="O325" s="190">
        <f ca="1">IF(Daten!$X325=Sprache!$A$70,1,0)</f>
        <v>0</v>
      </c>
      <c r="P325" s="191">
        <f>IF(AND(Daten!$AQ325&lt;=KINVARO!$AW$3,Daten!$AR325&gt;=KINVARO!$AW$3)=TRUE,1,0)</f>
        <v>1</v>
      </c>
      <c r="Q325" s="191">
        <f>IF(AND(Daten!$AA325&lt;=KINVARO!$AW$4,Daten!$AB325&gt;=KINVARO!$AW$4)=TRUE,1,0)</f>
        <v>0</v>
      </c>
      <c r="R325" s="191"/>
      <c r="S325" s="191">
        <f>IF(AND(Daten!$AD325&lt;=Limits!$I$70,Daten!$AE325&gt;=Limits!$I$70)=TRUE,1,0)</f>
        <v>0</v>
      </c>
      <c r="T325" s="194">
        <f ca="1">IF(Daten!$Y325=Sprache!$A$135,1,0)</f>
        <v>1</v>
      </c>
      <c r="U325" s="187" t="str">
        <f ca="1">Sprache!$A$66</f>
        <v>T-71 Поворотный подъемник</v>
      </c>
      <c r="V325" s="194">
        <v>13</v>
      </c>
      <c r="W325" s="193">
        <v>17</v>
      </c>
      <c r="X325" s="187" t="str">
        <f ca="1">Sprache!$A$142</f>
        <v>Alu (Rahmen 19mm)</v>
      </c>
      <c r="Y325" s="187" t="str">
        <f ca="1">Sprache!$A$135</f>
        <v>ja</v>
      </c>
      <c r="Z325" s="187" t="str">
        <f ca="1">Sprache!$A$79</f>
        <v>Створка</v>
      </c>
      <c r="AA325" s="187">
        <v>350</v>
      </c>
      <c r="AB325" s="124">
        <v>399</v>
      </c>
      <c r="AC325" s="187"/>
      <c r="AD325" s="195">
        <v>2.2999999999999998</v>
      </c>
      <c r="AE325" s="196">
        <v>7.5</v>
      </c>
      <c r="AF325" s="263" t="str">
        <f>MID(Tabelle2[[#This Row],[bnr full]],1,4)</f>
        <v>F151</v>
      </c>
      <c r="AG325" s="264" t="str">
        <f>MID(Tabelle2[[#This Row],[bnr full]],5,3)</f>
        <v>147</v>
      </c>
      <c r="AH325" s="265" t="str">
        <f>MID(Tabelle2[[#This Row],[bnr full]],8,3)</f>
        <v>696</v>
      </c>
      <c r="AI325" s="264" t="str">
        <f>MID(Tabelle2[[#This Row],[bnr full]],11,3)</f>
        <v>201</v>
      </c>
      <c r="AJ325" s="252" t="str">
        <f>MID(Tabelle2[[#This Row],[bnr full]],11,3)</f>
        <v>201</v>
      </c>
      <c r="AK325" s="197" t="s">
        <v>798</v>
      </c>
      <c r="AL325" s="124" t="str">
        <f ca="1">Sprache!$A$111</f>
        <v>Комплект (Л + П)</v>
      </c>
      <c r="AM325" s="187" t="s">
        <v>25</v>
      </c>
      <c r="AN325" s="187" t="str">
        <f ca="1">Sprache!$A$128</f>
        <v>Пружина, оранжевая</v>
      </c>
      <c r="AO325" s="187" t="str">
        <f ca="1">Sprache!$A$146</f>
        <v>Адаптер под алюминиевые рамки к комплекту Kinvaro T-71</v>
      </c>
      <c r="AP325" s="225" t="s">
        <v>821</v>
      </c>
      <c r="AQ325" s="187">
        <f>Limits!$K$9</f>
        <v>200</v>
      </c>
      <c r="AR325" s="124">
        <v>1200</v>
      </c>
      <c r="AS325" s="187"/>
      <c r="AT325" s="124"/>
      <c r="AU325"/>
      <c r="AV325"/>
      <c r="AY325"/>
      <c r="AZ325"/>
      <c r="BA325"/>
      <c r="BB325"/>
      <c r="BC325"/>
    </row>
    <row r="326" spans="1:55" hidden="1" x14ac:dyDescent="0.25">
      <c r="A326" s="12" t="str">
        <f ca="1">IF(F326+G326+H326+I326+J326+D326+E326=3,IF(Tabelle2[[#This Row],[Kappe Weiß]]=Limits!$R$29,1,""),"")</f>
        <v/>
      </c>
      <c r="B326" s="12" t="str">
        <f ca="1">IF(G326+H326+I326+J326+E326+F326=2,IF(Tabelle2[[#This Row],[Kappe Weiß]]=Limits!$R$29,1,""),"")</f>
        <v/>
      </c>
      <c r="C326" s="292">
        <v>0</v>
      </c>
      <c r="D326" s="171">
        <f>IF(Limits!$P$8=TRUE,1,0)</f>
        <v>0</v>
      </c>
      <c r="E326" s="172">
        <f>IF(Daten!$P326+Daten!$Q326+Daten!$S326=3,1,0)</f>
        <v>0</v>
      </c>
      <c r="F326" s="173">
        <f ca="1">IF(AND(Limits!$Q$21=TRUE,Daten!O326=1)=TRUE,1,0)</f>
        <v>1</v>
      </c>
      <c r="G326" s="174">
        <f ca="1">IF(AND(Limits!$Q$25=TRUE,Daten!N326=1)=TRUE,1,0)</f>
        <v>0</v>
      </c>
      <c r="H326" s="174">
        <f ca="1">IF(AND(Limits!$Q$24=TRUE,Daten!M326=1)=TRUE,1,0)</f>
        <v>0</v>
      </c>
      <c r="I326" s="174">
        <f ca="1">IF(AND(Limits!$Q$23=TRUE,Daten!L326=1)=TRUE,1,0)</f>
        <v>0</v>
      </c>
      <c r="J326" s="174">
        <f ca="1">IF(AND(Limits!$Q$22=TRUE,Daten!K326=1)=TRUE,1,0)</f>
        <v>0</v>
      </c>
      <c r="K326" s="188">
        <f ca="1">IF(Daten!$V326=13,1,0)</f>
        <v>0</v>
      </c>
      <c r="L326" s="189">
        <f ca="1">IF(Daten!$V326&lt;&gt;Daten!$W326,1,IF(Daten!$V326=14,1,0))</f>
        <v>0</v>
      </c>
      <c r="M326" s="189">
        <f ca="1">IF(Daten!$V326&lt;&gt;Daten!$W326,1,IF(Daten!$V326=16,1,0))</f>
        <v>0</v>
      </c>
      <c r="N326" s="189">
        <f ca="1">IF(Daten!$W326=17,1,0)</f>
        <v>0</v>
      </c>
      <c r="O326" s="190">
        <f ca="1">IF(Daten!$X326=Sprache!$A$70,1,0)</f>
        <v>1</v>
      </c>
      <c r="P326" s="198">
        <f>IF(AND(Daten!$AQ326&lt;=KINVARO!$AW$3,Daten!$AR326&gt;=KINVARO!$AW$3)=TRUE,1,0)</f>
        <v>1</v>
      </c>
      <c r="Q326" s="199">
        <f>IF(AND(Daten!$AA326&lt;=KINVARO!$AW$4,Daten!$AB326&gt;=KINVARO!$AW$4)=TRUE,1,0)</f>
        <v>0</v>
      </c>
      <c r="R326" s="199"/>
      <c r="S326" s="199">
        <f>IF(AND(Daten!$AD326&lt;=Limits!$I$70,Daten!$AE326&gt;=Limits!$I$70)=TRUE,1,0)</f>
        <v>0</v>
      </c>
      <c r="T326" s="200">
        <f ca="1">IF(Daten!$Y326=Sprache!$A$135,1,0)</f>
        <v>1</v>
      </c>
      <c r="U326" s="201" t="str">
        <f ca="1">Sprache!$A$66</f>
        <v>T-71 Поворотный подъемник</v>
      </c>
      <c r="V326" s="202" t="str">
        <f ca="1">Sprache!$A$74</f>
        <v>var</v>
      </c>
      <c r="W326" s="200" t="str">
        <f ca="1">Sprache!$A$74</f>
        <v>var</v>
      </c>
      <c r="X326" s="203" t="str">
        <f ca="1">Sprache!$A$70</f>
        <v>соединение с древесиной</v>
      </c>
      <c r="Y326" s="203" t="str">
        <f ca="1">Sprache!$A$135</f>
        <v>ja</v>
      </c>
      <c r="Z326" s="203" t="str">
        <f ca="1">Sprache!$A$79</f>
        <v>Створка</v>
      </c>
      <c r="AA326" s="203">
        <v>400</v>
      </c>
      <c r="AB326" s="201">
        <v>449</v>
      </c>
      <c r="AC326" s="203"/>
      <c r="AD326" s="204">
        <v>1.7</v>
      </c>
      <c r="AE326" s="205">
        <v>5.4</v>
      </c>
      <c r="AF326" s="266" t="str">
        <f>MID(Tabelle2[[#This Row],[bnr full]],1,4)</f>
        <v>F151</v>
      </c>
      <c r="AG326" s="267" t="str">
        <f>MID(Tabelle2[[#This Row],[bnr full]],5,3)</f>
        <v>147</v>
      </c>
      <c r="AH326" s="268" t="str">
        <f>MID(Tabelle2[[#This Row],[bnr full]],8,3)</f>
        <v>696</v>
      </c>
      <c r="AI326" s="267" t="str">
        <f>MID(Tabelle2[[#This Row],[bnr full]],11,3)</f>
        <v>201</v>
      </c>
      <c r="AJ326" s="253" t="str">
        <f>MID(Tabelle2[[#This Row],[bnr full]],11,3)</f>
        <v>201</v>
      </c>
      <c r="AK326" s="206" t="s">
        <v>798</v>
      </c>
      <c r="AL326" s="201" t="str">
        <f ca="1">Sprache!$A$111</f>
        <v>Комплект (Л + П)</v>
      </c>
      <c r="AM326" s="203" t="s">
        <v>25</v>
      </c>
      <c r="AN326" s="203" t="str">
        <f ca="1">Sprache!$A$127</f>
        <v>Пружина, белая</v>
      </c>
      <c r="AO326" s="203" t="s">
        <v>25</v>
      </c>
      <c r="AP326" s="203" t="s">
        <v>25</v>
      </c>
      <c r="AQ326" s="203">
        <f>Limits!$K$9</f>
        <v>200</v>
      </c>
      <c r="AR326" s="201">
        <v>1200</v>
      </c>
      <c r="AS326" s="187"/>
      <c r="AT326" s="124"/>
      <c r="AU326"/>
      <c r="AV326"/>
      <c r="AY326"/>
      <c r="AZ326"/>
      <c r="BA326"/>
      <c r="BB326"/>
      <c r="BC326"/>
    </row>
    <row r="327" spans="1:55" s="5" customFormat="1" hidden="1" x14ac:dyDescent="0.25">
      <c r="A327" s="12" t="str">
        <f ca="1">IF(F327+G327+H327+I327+J327+D327+E327=3,IF(Tabelle2[[#This Row],[Kappe Weiß]]=Limits!$R$29,1,""),"")</f>
        <v/>
      </c>
      <c r="B327" s="12" t="str">
        <f ca="1">IF(G327+H327+I327+J327+E327+F327=2,IF(Tabelle2[[#This Row],[Kappe Weiß]]=Limits!$R$29,1,""),"")</f>
        <v/>
      </c>
      <c r="C327" s="291">
        <v>0</v>
      </c>
      <c r="D327" s="171">
        <f>IF(Limits!$P$8=TRUE,1,0)</f>
        <v>0</v>
      </c>
      <c r="E327" s="172">
        <f>IF(Daten!$P327+Daten!$Q327+Daten!$S327=3,1,0)</f>
        <v>0</v>
      </c>
      <c r="F327" s="173">
        <f ca="1">IF(AND(Limits!$Q$21=TRUE,Daten!O327=1)=TRUE,1,0)</f>
        <v>1</v>
      </c>
      <c r="G327" s="174">
        <f ca="1">IF(AND(Limits!$Q$25=TRUE,Daten!N327=1)=TRUE,1,0)</f>
        <v>0</v>
      </c>
      <c r="H327" s="174">
        <f ca="1">IF(AND(Limits!$Q$24=TRUE,Daten!M327=1)=TRUE,1,0)</f>
        <v>0</v>
      </c>
      <c r="I327" s="174">
        <f ca="1">IF(AND(Limits!$Q$23=TRUE,Daten!L327=1)=TRUE,1,0)</f>
        <v>0</v>
      </c>
      <c r="J327" s="174">
        <f ca="1">IF(AND(Limits!$Q$22=TRUE,Daten!K327=1)=TRUE,1,0)</f>
        <v>0</v>
      </c>
      <c r="K327" s="188">
        <f ca="1">IF(Daten!$V327=13,1,0)</f>
        <v>0</v>
      </c>
      <c r="L327" s="189">
        <f ca="1">IF(Daten!$V327&lt;&gt;Daten!$W327,1,IF(Daten!$V327=14,1,0))</f>
        <v>0</v>
      </c>
      <c r="M327" s="189">
        <f ca="1">IF(Daten!$V327&lt;&gt;Daten!$W327,1,IF(Daten!$V327=16,1,0))</f>
        <v>0</v>
      </c>
      <c r="N327" s="189">
        <f ca="1">IF(Daten!$W327=17,1,0)</f>
        <v>0</v>
      </c>
      <c r="O327" s="190">
        <f ca="1">IF(Daten!$X327=Sprache!$A$70,1,0)</f>
        <v>1</v>
      </c>
      <c r="P327" s="191">
        <f>IF(AND(Daten!$AQ327&lt;=KINVARO!$AW$3,Daten!$AR327&gt;=KINVARO!$AW$3)=TRUE,1,0)</f>
        <v>1</v>
      </c>
      <c r="Q327" s="192">
        <f>IF(AND(Daten!$AA327&lt;=KINVARO!$AW$4,Daten!$AB327&gt;=KINVARO!$AW$4)=TRUE,1,0)</f>
        <v>0</v>
      </c>
      <c r="R327" s="192"/>
      <c r="S327" s="192">
        <f>IF(AND(Daten!$AD327&lt;=Limits!$I$70,Daten!$AE327&gt;=Limits!$I$70)=TRUE,1,0)</f>
        <v>0</v>
      </c>
      <c r="T327" s="193">
        <f ca="1">IF(Daten!$Y327=Sprache!$A$135,1,0)</f>
        <v>1</v>
      </c>
      <c r="U327" s="124" t="str">
        <f ca="1">Sprache!$A$66</f>
        <v>T-71 Поворотный подъемник</v>
      </c>
      <c r="V327" s="194" t="str">
        <f ca="1">Sprache!$A$74</f>
        <v>var</v>
      </c>
      <c r="W327" s="193" t="str">
        <f ca="1">Sprache!$A$74</f>
        <v>var</v>
      </c>
      <c r="X327" s="187" t="str">
        <f ca="1">Sprache!$A$70</f>
        <v>соединение с древесиной</v>
      </c>
      <c r="Y327" s="187" t="str">
        <f ca="1">Sprache!$A$135</f>
        <v>ja</v>
      </c>
      <c r="Z327" s="187" t="str">
        <f ca="1">Sprache!$A$79</f>
        <v>Створка</v>
      </c>
      <c r="AA327" s="187">
        <v>400</v>
      </c>
      <c r="AB327" s="124">
        <v>449</v>
      </c>
      <c r="AC327" s="187"/>
      <c r="AD327" s="195">
        <v>2.1</v>
      </c>
      <c r="AE327" s="196">
        <v>6.8</v>
      </c>
      <c r="AF327" s="263" t="str">
        <f>MID(Tabelle2[[#This Row],[bnr full]],1,4)</f>
        <v>F151</v>
      </c>
      <c r="AG327" s="264" t="str">
        <f>MID(Tabelle2[[#This Row],[bnr full]],5,3)</f>
        <v>147</v>
      </c>
      <c r="AH327" s="265" t="str">
        <f>MID(Tabelle2[[#This Row],[bnr full]],8,3)</f>
        <v>696</v>
      </c>
      <c r="AI327" s="264" t="str">
        <f>MID(Tabelle2[[#This Row],[bnr full]],11,3)</f>
        <v>201</v>
      </c>
      <c r="AJ327" s="252" t="str">
        <f>MID(Tabelle2[[#This Row],[bnr full]],11,3)</f>
        <v>201</v>
      </c>
      <c r="AK327" s="197" t="s">
        <v>798</v>
      </c>
      <c r="AL327" s="124" t="str">
        <f ca="1">Sprache!$A$111</f>
        <v>Комплект (Л + П)</v>
      </c>
      <c r="AM327" s="187" t="s">
        <v>25</v>
      </c>
      <c r="AN327" s="187" t="str">
        <f ca="1">Sprache!$A$128</f>
        <v>Пружина, оранжевая</v>
      </c>
      <c r="AO327" s="187" t="s">
        <v>25</v>
      </c>
      <c r="AP327" s="187" t="s">
        <v>25</v>
      </c>
      <c r="AQ327" s="187">
        <f>Limits!$K$9</f>
        <v>200</v>
      </c>
      <c r="AR327" s="124">
        <v>1200</v>
      </c>
      <c r="AS327" s="187"/>
      <c r="AT327" s="124"/>
    </row>
    <row r="328" spans="1:55" hidden="1" x14ac:dyDescent="0.25">
      <c r="A328" s="12" t="str">
        <f ca="1">IF(F328+G328+H328+I328+J328+D328+E328=3,IF(Tabelle2[[#This Row],[Kappe Weiß]]=Limits!$R$29,1,""),"")</f>
        <v/>
      </c>
      <c r="B328" s="12" t="str">
        <f ca="1">IF(G328+H328+I328+J328+E328+F328=2,IF(Tabelle2[[#This Row],[Kappe Weiß]]=Limits!$R$29,1,""),"")</f>
        <v/>
      </c>
      <c r="C328" s="291">
        <v>0</v>
      </c>
      <c r="D328" s="171">
        <f>IF(Limits!$P$8=TRUE,1,0)</f>
        <v>0</v>
      </c>
      <c r="E328" s="172">
        <f>IF(Daten!$P328+Daten!$Q328+Daten!$S328=3,1,0)</f>
        <v>0</v>
      </c>
      <c r="F328" s="173">
        <f ca="1">IF(AND(Limits!$Q$21=TRUE,Daten!O328=1)=TRUE,1,0)</f>
        <v>0</v>
      </c>
      <c r="G328" s="174">
        <f>IF(AND(Limits!$Q$25=TRUE,Daten!N328=1)=TRUE,1,0)</f>
        <v>0</v>
      </c>
      <c r="H328" s="174">
        <f>IF(AND(Limits!$Q$24=TRUE,Daten!M328=1)=TRUE,1,0)</f>
        <v>0</v>
      </c>
      <c r="I328" s="174">
        <f>IF(AND(Limits!$Q$23=TRUE,Daten!L328=1)=TRUE,1,0)</f>
        <v>0</v>
      </c>
      <c r="J328" s="174">
        <f>IF(AND(Limits!$Q$22=TRUE,Daten!K328=1)=TRUE,1,0)</f>
        <v>0</v>
      </c>
      <c r="K328" s="188">
        <f>IF(Daten!$V328=13,1,0)</f>
        <v>1</v>
      </c>
      <c r="L328" s="189">
        <f>IF(Daten!$V328&lt;&gt;Daten!$W328,1,IF(Daten!$V328=14,1,0))</f>
        <v>1</v>
      </c>
      <c r="M328" s="189">
        <f>IF(Daten!$V328&lt;&gt;Daten!$W328,1,IF(Daten!$V328=16,1,0))</f>
        <v>1</v>
      </c>
      <c r="N328" s="189">
        <f>IF(Daten!$W328=17,1,0)</f>
        <v>1</v>
      </c>
      <c r="O328" s="190">
        <f ca="1">IF(Daten!$X328=Sprache!$A$70,1,0)</f>
        <v>0</v>
      </c>
      <c r="P328" s="191">
        <f>IF(AND(Daten!$AQ328&lt;=KINVARO!$AW$3,Daten!$AR328&gt;=KINVARO!$AW$3)=TRUE,1,0)</f>
        <v>1</v>
      </c>
      <c r="Q328" s="192">
        <f>IF(AND(Daten!$AA328&lt;=KINVARO!$AW$4,Daten!$AB328&gt;=KINVARO!$AW$4)=TRUE,1,0)</f>
        <v>0</v>
      </c>
      <c r="R328" s="192"/>
      <c r="S328" s="192">
        <f>IF(AND(Daten!$AD328&lt;=Limits!$I$70,Daten!$AE328&gt;=Limits!$I$70)=TRUE,1,0)</f>
        <v>0</v>
      </c>
      <c r="T328" s="193">
        <f ca="1">IF(Daten!$Y328=Sprache!$A$135,1,0)</f>
        <v>1</v>
      </c>
      <c r="U328" s="124" t="str">
        <f ca="1">Sprache!$A$66</f>
        <v>T-71 Поворотный подъемник</v>
      </c>
      <c r="V328" s="194">
        <v>13</v>
      </c>
      <c r="W328" s="193">
        <v>17</v>
      </c>
      <c r="X328" s="187" t="str">
        <f ca="1">Sprache!$A$142</f>
        <v>Alu (Rahmen 19mm)</v>
      </c>
      <c r="Y328" s="187" t="str">
        <f ca="1">Sprache!$A$135</f>
        <v>ja</v>
      </c>
      <c r="Z328" s="187" t="str">
        <f ca="1">Sprache!$A$79</f>
        <v>Створка</v>
      </c>
      <c r="AA328" s="187">
        <v>400</v>
      </c>
      <c r="AB328" s="124">
        <v>449</v>
      </c>
      <c r="AC328" s="187"/>
      <c r="AD328" s="195">
        <v>1.7</v>
      </c>
      <c r="AE328" s="196">
        <v>5.4</v>
      </c>
      <c r="AF328" s="263" t="str">
        <f>MID(Tabelle2[[#This Row],[bnr full]],1,4)</f>
        <v>F151</v>
      </c>
      <c r="AG328" s="264" t="str">
        <f>MID(Tabelle2[[#This Row],[bnr full]],5,3)</f>
        <v>147</v>
      </c>
      <c r="AH328" s="265" t="str">
        <f>MID(Tabelle2[[#This Row],[bnr full]],8,3)</f>
        <v>696</v>
      </c>
      <c r="AI328" s="264" t="str">
        <f>MID(Tabelle2[[#This Row],[bnr full]],11,3)</f>
        <v>201</v>
      </c>
      <c r="AJ328" s="252" t="str">
        <f>MID(Tabelle2[[#This Row],[bnr full]],11,3)</f>
        <v>201</v>
      </c>
      <c r="AK328" s="197" t="s">
        <v>798</v>
      </c>
      <c r="AL328" s="124" t="str">
        <f ca="1">Sprache!$A$111</f>
        <v>Комплект (Л + П)</v>
      </c>
      <c r="AM328" s="187" t="s">
        <v>25</v>
      </c>
      <c r="AN328" s="187" t="str">
        <f ca="1">Sprache!$A$127</f>
        <v>Пружина, белая</v>
      </c>
      <c r="AO328" s="187" t="str">
        <f ca="1">Sprache!$A$146</f>
        <v>Адаптер под алюминиевые рамки к комплекту Kinvaro T-71</v>
      </c>
      <c r="AP328" s="225" t="s">
        <v>821</v>
      </c>
      <c r="AQ328" s="187">
        <f>Limits!$K$9</f>
        <v>200</v>
      </c>
      <c r="AR328" s="124">
        <v>1200</v>
      </c>
      <c r="AS328" s="187"/>
      <c r="AT328" s="124"/>
      <c r="AU328"/>
      <c r="AV328"/>
      <c r="AY328"/>
      <c r="AZ328"/>
      <c r="BA328"/>
      <c r="BB328"/>
      <c r="BC328"/>
    </row>
    <row r="329" spans="1:55" hidden="1" x14ac:dyDescent="0.25">
      <c r="A329" s="12" t="str">
        <f ca="1">IF(F329+G329+H329+I329+J329+D329+E329=3,IF(Tabelle2[[#This Row],[Kappe Weiß]]=Limits!$R$29,1,""),"")</f>
        <v/>
      </c>
      <c r="B329" s="12" t="str">
        <f ca="1">IF(G329+H329+I329+J329+E329+F329=2,IF(Tabelle2[[#This Row],[Kappe Weiß]]=Limits!$R$29,1,""),"")</f>
        <v/>
      </c>
      <c r="C329" s="291">
        <v>0</v>
      </c>
      <c r="D329" s="171">
        <f>IF(Limits!$P$8=TRUE,1,0)</f>
        <v>0</v>
      </c>
      <c r="E329" s="172">
        <f>IF(Daten!$P329+Daten!$Q329+Daten!$S329=3,1,0)</f>
        <v>0</v>
      </c>
      <c r="F329" s="173">
        <f ca="1">IF(AND(Limits!$Q$21=TRUE,Daten!O329=1)=TRUE,1,0)</f>
        <v>0</v>
      </c>
      <c r="G329" s="174">
        <f>IF(AND(Limits!$Q$25=TRUE,Daten!N329=1)=TRUE,1,0)</f>
        <v>0</v>
      </c>
      <c r="H329" s="174">
        <f>IF(AND(Limits!$Q$24=TRUE,Daten!M329=1)=TRUE,1,0)</f>
        <v>0</v>
      </c>
      <c r="I329" s="174">
        <f>IF(AND(Limits!$Q$23=TRUE,Daten!L329=1)=TRUE,1,0)</f>
        <v>0</v>
      </c>
      <c r="J329" s="174">
        <f>IF(AND(Limits!$Q$22=TRUE,Daten!K329=1)=TRUE,1,0)</f>
        <v>0</v>
      </c>
      <c r="K329" s="188">
        <f>IF(Daten!$V329=13,1,0)</f>
        <v>1</v>
      </c>
      <c r="L329" s="189">
        <f>IF(Daten!$V329&lt;&gt;Daten!$W329,1,IF(Daten!$V329=14,1,0))</f>
        <v>1</v>
      </c>
      <c r="M329" s="189">
        <f>IF(Daten!$V329&lt;&gt;Daten!$W329,1,IF(Daten!$V329=16,1,0))</f>
        <v>1</v>
      </c>
      <c r="N329" s="189">
        <f>IF(Daten!$W329=17,1,0)</f>
        <v>1</v>
      </c>
      <c r="O329" s="190">
        <f ca="1">IF(Daten!$X329=Sprache!$A$70,1,0)</f>
        <v>0</v>
      </c>
      <c r="P329" s="191">
        <f>IF(AND(Daten!$AQ329&lt;=KINVARO!$AW$3,Daten!$AR329&gt;=KINVARO!$AW$3)=TRUE,1,0)</f>
        <v>1</v>
      </c>
      <c r="Q329" s="192">
        <f>IF(AND(Daten!$AA329&lt;=KINVARO!$AW$4,Daten!$AB329&gt;=KINVARO!$AW$4)=TRUE,1,0)</f>
        <v>0</v>
      </c>
      <c r="R329" s="192"/>
      <c r="S329" s="192">
        <f>IF(AND(Daten!$AD329&lt;=Limits!$I$70,Daten!$AE329&gt;=Limits!$I$70)=TRUE,1,0)</f>
        <v>0</v>
      </c>
      <c r="T329" s="193">
        <f ca="1">IF(Daten!$Y329=Sprache!$A$135,1,0)</f>
        <v>1</v>
      </c>
      <c r="U329" s="124" t="str">
        <f ca="1">Sprache!$A$66</f>
        <v>T-71 Поворотный подъемник</v>
      </c>
      <c r="V329" s="194">
        <v>13</v>
      </c>
      <c r="W329" s="193">
        <v>17</v>
      </c>
      <c r="X329" s="187" t="str">
        <f ca="1">Sprache!$A$142</f>
        <v>Alu (Rahmen 19mm)</v>
      </c>
      <c r="Y329" s="187" t="str">
        <f ca="1">Sprache!$A$135</f>
        <v>ja</v>
      </c>
      <c r="Z329" s="187" t="str">
        <f ca="1">Sprache!$A$79</f>
        <v>Створка</v>
      </c>
      <c r="AA329" s="187">
        <v>400</v>
      </c>
      <c r="AB329" s="124">
        <v>449</v>
      </c>
      <c r="AC329" s="187"/>
      <c r="AD329" s="195">
        <v>2.1</v>
      </c>
      <c r="AE329" s="196">
        <v>6.8</v>
      </c>
      <c r="AF329" s="263" t="str">
        <f>MID(Tabelle2[[#This Row],[bnr full]],1,4)</f>
        <v>F151</v>
      </c>
      <c r="AG329" s="264" t="str">
        <f>MID(Tabelle2[[#This Row],[bnr full]],5,3)</f>
        <v>147</v>
      </c>
      <c r="AH329" s="265" t="str">
        <f>MID(Tabelle2[[#This Row],[bnr full]],8,3)</f>
        <v>696</v>
      </c>
      <c r="AI329" s="264" t="str">
        <f>MID(Tabelle2[[#This Row],[bnr full]],11,3)</f>
        <v>201</v>
      </c>
      <c r="AJ329" s="252" t="str">
        <f>MID(Tabelle2[[#This Row],[bnr full]],11,3)</f>
        <v>201</v>
      </c>
      <c r="AK329" s="197" t="s">
        <v>798</v>
      </c>
      <c r="AL329" s="124" t="str">
        <f ca="1">Sprache!$A$111</f>
        <v>Комплект (Л + П)</v>
      </c>
      <c r="AM329" s="187" t="s">
        <v>25</v>
      </c>
      <c r="AN329" s="187" t="str">
        <f ca="1">Sprache!$A$128</f>
        <v>Пружина, оранжевая</v>
      </c>
      <c r="AO329" s="187" t="str">
        <f ca="1">Sprache!$A$146</f>
        <v>Адаптер под алюминиевые рамки к комплекту Kinvaro T-71</v>
      </c>
      <c r="AP329" s="225" t="s">
        <v>821</v>
      </c>
      <c r="AQ329" s="187">
        <f>Limits!$K$9</f>
        <v>200</v>
      </c>
      <c r="AR329" s="124">
        <v>1200</v>
      </c>
      <c r="AS329" s="187"/>
      <c r="AT329" s="124"/>
      <c r="AU329"/>
      <c r="AV329"/>
      <c r="AY329"/>
      <c r="AZ329"/>
      <c r="BA329"/>
      <c r="BB329"/>
      <c r="BC329"/>
    </row>
    <row r="330" spans="1:55" hidden="1" x14ac:dyDescent="0.25">
      <c r="A330" s="12" t="str">
        <f ca="1">IF(F330+G330+H330+I330+J330+D330+E330=3,IF(Tabelle2[[#This Row],[Kappe Weiß]]=Limits!$R$29,1,""),"")</f>
        <v/>
      </c>
      <c r="B330" s="12" t="str">
        <f ca="1">IF(G330+H330+I330+J330+E330+F330=2,IF(Tabelle2[[#This Row],[Kappe Weiß]]=Limits!$R$29,1,""),"")</f>
        <v/>
      </c>
      <c r="C330" s="292">
        <v>0</v>
      </c>
      <c r="D330" s="171">
        <f>IF(Limits!$P$8=TRUE,1,0)</f>
        <v>0</v>
      </c>
      <c r="E330" s="172">
        <f>IF(Daten!$P330+Daten!$Q330+Daten!$S330=3,1,0)</f>
        <v>0</v>
      </c>
      <c r="F330" s="173">
        <f ca="1">IF(AND(Limits!$Q$21=TRUE,Daten!O330=1)=TRUE,1,0)</f>
        <v>1</v>
      </c>
      <c r="G330" s="174">
        <f ca="1">IF(AND(Limits!$Q$25=TRUE,Daten!N330=1)=TRUE,1,0)</f>
        <v>0</v>
      </c>
      <c r="H330" s="174">
        <f ca="1">IF(AND(Limits!$Q$24=TRUE,Daten!M330=1)=TRUE,1,0)</f>
        <v>0</v>
      </c>
      <c r="I330" s="174">
        <f ca="1">IF(AND(Limits!$Q$23=TRUE,Daten!L330=1)=TRUE,1,0)</f>
        <v>0</v>
      </c>
      <c r="J330" s="174">
        <f ca="1">IF(AND(Limits!$Q$22=TRUE,Daten!K330=1)=TRUE,1,0)</f>
        <v>0</v>
      </c>
      <c r="K330" s="188">
        <f ca="1">IF(Daten!$V330=13,1,0)</f>
        <v>0</v>
      </c>
      <c r="L330" s="189">
        <f ca="1">IF(Daten!$V330&lt;&gt;Daten!$W330,1,IF(Daten!$V330=14,1,0))</f>
        <v>0</v>
      </c>
      <c r="M330" s="189">
        <f ca="1">IF(Daten!$V330&lt;&gt;Daten!$W330,1,IF(Daten!$V330=16,1,0))</f>
        <v>0</v>
      </c>
      <c r="N330" s="189">
        <f ca="1">IF(Daten!$W330=17,1,0)</f>
        <v>0</v>
      </c>
      <c r="O330" s="190">
        <f ca="1">IF(Daten!$X330=Sprache!$A$70,1,0)</f>
        <v>1</v>
      </c>
      <c r="P330" s="198">
        <f>IF(AND(Daten!$AQ330&lt;=KINVARO!$AW$3,Daten!$AR330&gt;=KINVARO!$AW$3)=TRUE,1,0)</f>
        <v>1</v>
      </c>
      <c r="Q330" s="198">
        <f>IF(AND(Daten!$AA330&lt;=KINVARO!$AW$4,Daten!$AB330&gt;=KINVARO!$AW$4)=TRUE,1,0)</f>
        <v>0</v>
      </c>
      <c r="R330" s="198"/>
      <c r="S330" s="198">
        <f>IF(AND(Daten!$AD330&lt;=Limits!$I$70,Daten!$AE330&gt;=Limits!$I$70)=TRUE,1,0)</f>
        <v>0</v>
      </c>
      <c r="T330" s="202">
        <f ca="1">IF(Daten!$Y330=Sprache!$A$135,1,0)</f>
        <v>1</v>
      </c>
      <c r="U330" s="203" t="str">
        <f ca="1">Sprache!$A$66</f>
        <v>T-71 Поворотный подъемник</v>
      </c>
      <c r="V330" s="202" t="str">
        <f ca="1">Sprache!$A$74</f>
        <v>var</v>
      </c>
      <c r="W330" s="200" t="str">
        <f ca="1">Sprache!$A$74</f>
        <v>var</v>
      </c>
      <c r="X330" s="203" t="str">
        <f ca="1">Sprache!$A$70</f>
        <v>соединение с древесиной</v>
      </c>
      <c r="Y330" s="203" t="str">
        <f ca="1">Sprache!$A$135</f>
        <v>ja</v>
      </c>
      <c r="Z330" s="203" t="str">
        <f ca="1">Sprache!$A$79</f>
        <v>Створка</v>
      </c>
      <c r="AA330" s="203">
        <v>450</v>
      </c>
      <c r="AB330" s="201">
        <v>499</v>
      </c>
      <c r="AC330" s="203"/>
      <c r="AD330" s="204">
        <v>1.6</v>
      </c>
      <c r="AE330" s="205">
        <v>4.7</v>
      </c>
      <c r="AF330" s="266" t="str">
        <f>MID(Tabelle2[[#This Row],[bnr full]],1,4)</f>
        <v>F151</v>
      </c>
      <c r="AG330" s="267" t="str">
        <f>MID(Tabelle2[[#This Row],[bnr full]],5,3)</f>
        <v>147</v>
      </c>
      <c r="AH330" s="268" t="str">
        <f>MID(Tabelle2[[#This Row],[bnr full]],8,3)</f>
        <v>696</v>
      </c>
      <c r="AI330" s="267" t="str">
        <f>MID(Tabelle2[[#This Row],[bnr full]],11,3)</f>
        <v>201</v>
      </c>
      <c r="AJ330" s="253" t="str">
        <f>MID(Tabelle2[[#This Row],[bnr full]],11,3)</f>
        <v>201</v>
      </c>
      <c r="AK330" s="206" t="s">
        <v>798</v>
      </c>
      <c r="AL330" s="201" t="str">
        <f ca="1">Sprache!$A$111</f>
        <v>Комплект (Л + П)</v>
      </c>
      <c r="AM330" s="203" t="s">
        <v>25</v>
      </c>
      <c r="AN330" s="203" t="str">
        <f ca="1">Sprache!$A$127</f>
        <v>Пружина, белая</v>
      </c>
      <c r="AO330" s="203" t="s">
        <v>25</v>
      </c>
      <c r="AP330" s="203" t="s">
        <v>25</v>
      </c>
      <c r="AQ330" s="203">
        <f>Limits!$K$9</f>
        <v>200</v>
      </c>
      <c r="AR330" s="201">
        <v>1200</v>
      </c>
      <c r="AS330" s="187"/>
      <c r="AT330" s="124"/>
      <c r="AU330"/>
      <c r="AV330"/>
      <c r="AY330"/>
      <c r="AZ330"/>
      <c r="BA330"/>
      <c r="BB330"/>
      <c r="BC330"/>
    </row>
    <row r="331" spans="1:55" hidden="1" x14ac:dyDescent="0.25">
      <c r="A331" s="12" t="str">
        <f ca="1">IF(F331+G331+H331+I331+J331+D331+E331=3,IF(Tabelle2[[#This Row],[Kappe Weiß]]=Limits!$R$29,1,""),"")</f>
        <v/>
      </c>
      <c r="B331" s="12" t="str">
        <f ca="1">IF(G331+H331+I331+J331+E331+F331=2,IF(Tabelle2[[#This Row],[Kappe Weiß]]=Limits!$R$29,1,""),"")</f>
        <v/>
      </c>
      <c r="C331" s="291">
        <v>0</v>
      </c>
      <c r="D331" s="171">
        <f>IF(Limits!$P$8=TRUE,1,0)</f>
        <v>0</v>
      </c>
      <c r="E331" s="172">
        <f>IF(Daten!$P331+Daten!$Q331+Daten!$S331=3,1,0)</f>
        <v>0</v>
      </c>
      <c r="F331" s="173">
        <f ca="1">IF(AND(Limits!$Q$21=TRUE,Daten!O331=1)=TRUE,1,0)</f>
        <v>1</v>
      </c>
      <c r="G331" s="174">
        <f ca="1">IF(AND(Limits!$Q$25=TRUE,Daten!N331=1)=TRUE,1,0)</f>
        <v>0</v>
      </c>
      <c r="H331" s="174">
        <f ca="1">IF(AND(Limits!$Q$24=TRUE,Daten!M331=1)=TRUE,1,0)</f>
        <v>0</v>
      </c>
      <c r="I331" s="174">
        <f ca="1">IF(AND(Limits!$Q$23=TRUE,Daten!L331=1)=TRUE,1,0)</f>
        <v>0</v>
      </c>
      <c r="J331" s="174">
        <f ca="1">IF(AND(Limits!$Q$22=TRUE,Daten!K331=1)=TRUE,1,0)</f>
        <v>0</v>
      </c>
      <c r="K331" s="188">
        <f ca="1">IF(Daten!$V331=13,1,0)</f>
        <v>0</v>
      </c>
      <c r="L331" s="189">
        <f ca="1">IF(Daten!$V331&lt;&gt;Daten!$W331,1,IF(Daten!$V331=14,1,0))</f>
        <v>0</v>
      </c>
      <c r="M331" s="189">
        <f ca="1">IF(Daten!$V331&lt;&gt;Daten!$W331,1,IF(Daten!$V331=16,1,0))</f>
        <v>0</v>
      </c>
      <c r="N331" s="189">
        <f ca="1">IF(Daten!$W331=17,1,0)</f>
        <v>0</v>
      </c>
      <c r="O331" s="190">
        <f ca="1">IF(Daten!$X331=Sprache!$A$70,1,0)</f>
        <v>1</v>
      </c>
      <c r="P331" s="191">
        <f>IF(AND(Daten!$AQ331&lt;=KINVARO!$AW$3,Daten!$AR331&gt;=KINVARO!$AW$3)=TRUE,1,0)</f>
        <v>1</v>
      </c>
      <c r="Q331" s="191">
        <f>IF(AND(Daten!$AA331&lt;=KINVARO!$AW$4,Daten!$AB331&gt;=KINVARO!$AW$4)=TRUE,1,0)</f>
        <v>0</v>
      </c>
      <c r="R331" s="191"/>
      <c r="S331" s="191">
        <f>IF(AND(Daten!$AD331&lt;=Limits!$I$70,Daten!$AE331&gt;=Limits!$I$70)=TRUE,1,0)</f>
        <v>0</v>
      </c>
      <c r="T331" s="194">
        <f ca="1">IF(Daten!$Y331=Sprache!$A$135,1,0)</f>
        <v>1</v>
      </c>
      <c r="U331" s="187" t="str">
        <f ca="1">Sprache!$A$66</f>
        <v>T-71 Поворотный подъемник</v>
      </c>
      <c r="V331" s="194" t="str">
        <f ca="1">Sprache!$A$74</f>
        <v>var</v>
      </c>
      <c r="W331" s="193" t="str">
        <f ca="1">Sprache!$A$74</f>
        <v>var</v>
      </c>
      <c r="X331" s="187" t="str">
        <f ca="1">Sprache!$A$70</f>
        <v>соединение с древесиной</v>
      </c>
      <c r="Y331" s="187" t="str">
        <f ca="1">Sprache!$A$135</f>
        <v>ja</v>
      </c>
      <c r="Z331" s="187" t="str">
        <f ca="1">Sprache!$A$79</f>
        <v>Створка</v>
      </c>
      <c r="AA331" s="187">
        <v>450</v>
      </c>
      <c r="AB331" s="124">
        <v>499</v>
      </c>
      <c r="AC331" s="187"/>
      <c r="AD331" s="195">
        <v>2</v>
      </c>
      <c r="AE331" s="196">
        <v>5.8</v>
      </c>
      <c r="AF331" s="263" t="str">
        <f>MID(Tabelle2[[#This Row],[bnr full]],1,4)</f>
        <v>F151</v>
      </c>
      <c r="AG331" s="264" t="str">
        <f>MID(Tabelle2[[#This Row],[bnr full]],5,3)</f>
        <v>147</v>
      </c>
      <c r="AH331" s="265" t="str">
        <f>MID(Tabelle2[[#This Row],[bnr full]],8,3)</f>
        <v>696</v>
      </c>
      <c r="AI331" s="264" t="str">
        <f>MID(Tabelle2[[#This Row],[bnr full]],11,3)</f>
        <v>201</v>
      </c>
      <c r="AJ331" s="252" t="str">
        <f>MID(Tabelle2[[#This Row],[bnr full]],11,3)</f>
        <v>201</v>
      </c>
      <c r="AK331" s="197" t="s">
        <v>798</v>
      </c>
      <c r="AL331" s="124" t="str">
        <f ca="1">Sprache!$A$111</f>
        <v>Комплект (Л + П)</v>
      </c>
      <c r="AM331" s="187" t="s">
        <v>25</v>
      </c>
      <c r="AN331" s="187" t="str">
        <f ca="1">Sprache!$A$128</f>
        <v>Пружина, оранжевая</v>
      </c>
      <c r="AO331" s="187" t="s">
        <v>25</v>
      </c>
      <c r="AP331" s="187" t="s">
        <v>25</v>
      </c>
      <c r="AQ331" s="187">
        <f>Limits!$K$9</f>
        <v>200</v>
      </c>
      <c r="AR331" s="124">
        <v>1200</v>
      </c>
      <c r="AS331" s="187"/>
      <c r="AT331" s="124"/>
      <c r="AU331"/>
      <c r="AV331"/>
      <c r="AY331"/>
      <c r="AZ331"/>
      <c r="BA331"/>
      <c r="BB331"/>
      <c r="BC331"/>
    </row>
    <row r="332" spans="1:55" s="5" customFormat="1" hidden="1" x14ac:dyDescent="0.25">
      <c r="A332" s="12" t="str">
        <f ca="1">IF(F332+G332+H332+I332+J332+D332+E332=3,IF(Tabelle2[[#This Row],[Kappe Weiß]]=Limits!$R$29,1,""),"")</f>
        <v/>
      </c>
      <c r="B332" s="12" t="str">
        <f ca="1">IF(G332+H332+I332+J332+E332+F332=2,IF(Tabelle2[[#This Row],[Kappe Weiß]]=Limits!$R$29,1,""),"")</f>
        <v/>
      </c>
      <c r="C332" s="291">
        <v>0</v>
      </c>
      <c r="D332" s="171">
        <f>IF(Limits!$P$8=TRUE,1,0)</f>
        <v>0</v>
      </c>
      <c r="E332" s="172">
        <f>IF(Daten!$P332+Daten!$Q332+Daten!$S332=3,1,0)</f>
        <v>0</v>
      </c>
      <c r="F332" s="173">
        <f ca="1">IF(AND(Limits!$Q$21=TRUE,Daten!O332=1)=TRUE,1,0)</f>
        <v>0</v>
      </c>
      <c r="G332" s="174">
        <f>IF(AND(Limits!$Q$25=TRUE,Daten!N332=1)=TRUE,1,0)</f>
        <v>0</v>
      </c>
      <c r="H332" s="174">
        <f>IF(AND(Limits!$Q$24=TRUE,Daten!M332=1)=TRUE,1,0)</f>
        <v>0</v>
      </c>
      <c r="I332" s="174">
        <f>IF(AND(Limits!$Q$23=TRUE,Daten!L332=1)=TRUE,1,0)</f>
        <v>0</v>
      </c>
      <c r="J332" s="174">
        <f>IF(AND(Limits!$Q$22=TRUE,Daten!K332=1)=TRUE,1,0)</f>
        <v>0</v>
      </c>
      <c r="K332" s="188">
        <f>IF(Daten!$V332=13,1,0)</f>
        <v>1</v>
      </c>
      <c r="L332" s="189">
        <f>IF(Daten!$V332&lt;&gt;Daten!$W332,1,IF(Daten!$V332=14,1,0))</f>
        <v>1</v>
      </c>
      <c r="M332" s="189">
        <f>IF(Daten!$V332&lt;&gt;Daten!$W332,1,IF(Daten!$V332=16,1,0))</f>
        <v>1</v>
      </c>
      <c r="N332" s="189">
        <f>IF(Daten!$W332=17,1,0)</f>
        <v>1</v>
      </c>
      <c r="O332" s="190">
        <f ca="1">IF(Daten!$X332=Sprache!$A$70,1,0)</f>
        <v>0</v>
      </c>
      <c r="P332" s="191">
        <f>IF(AND(Daten!$AQ332&lt;=KINVARO!$AW$3,Daten!$AR332&gt;=KINVARO!$AW$3)=TRUE,1,0)</f>
        <v>1</v>
      </c>
      <c r="Q332" s="191">
        <f>IF(AND(Daten!$AA332&lt;=KINVARO!$AW$4,Daten!$AB332&gt;=KINVARO!$AW$4)=TRUE,1,0)</f>
        <v>0</v>
      </c>
      <c r="R332" s="191"/>
      <c r="S332" s="191">
        <f>IF(AND(Daten!$AD332&lt;=Limits!$I$70,Daten!$AE332&gt;=Limits!$I$70)=TRUE,1,0)</f>
        <v>0</v>
      </c>
      <c r="T332" s="194">
        <f ca="1">IF(Daten!$Y332=Sprache!$A$135,1,0)</f>
        <v>1</v>
      </c>
      <c r="U332" s="187" t="str">
        <f ca="1">Sprache!$A$66</f>
        <v>T-71 Поворотный подъемник</v>
      </c>
      <c r="V332" s="194">
        <v>13</v>
      </c>
      <c r="W332" s="193">
        <v>17</v>
      </c>
      <c r="X332" s="187" t="str">
        <f ca="1">Sprache!$A$142</f>
        <v>Alu (Rahmen 19mm)</v>
      </c>
      <c r="Y332" s="187" t="str">
        <f ca="1">Sprache!$A$135</f>
        <v>ja</v>
      </c>
      <c r="Z332" s="187" t="str">
        <f ca="1">Sprache!$A$79</f>
        <v>Створка</v>
      </c>
      <c r="AA332" s="187">
        <v>450</v>
      </c>
      <c r="AB332" s="124">
        <v>499</v>
      </c>
      <c r="AC332" s="187"/>
      <c r="AD332" s="195">
        <v>1.6</v>
      </c>
      <c r="AE332" s="196">
        <v>4.7</v>
      </c>
      <c r="AF332" s="263" t="str">
        <f>MID(Tabelle2[[#This Row],[bnr full]],1,4)</f>
        <v>F151</v>
      </c>
      <c r="AG332" s="264" t="str">
        <f>MID(Tabelle2[[#This Row],[bnr full]],5,3)</f>
        <v>147</v>
      </c>
      <c r="AH332" s="265" t="str">
        <f>MID(Tabelle2[[#This Row],[bnr full]],8,3)</f>
        <v>696</v>
      </c>
      <c r="AI332" s="264" t="str">
        <f>MID(Tabelle2[[#This Row],[bnr full]],11,3)</f>
        <v>201</v>
      </c>
      <c r="AJ332" s="252" t="str">
        <f>MID(Tabelle2[[#This Row],[bnr full]],11,3)</f>
        <v>201</v>
      </c>
      <c r="AK332" s="197" t="s">
        <v>798</v>
      </c>
      <c r="AL332" s="124" t="str">
        <f ca="1">Sprache!$A$111</f>
        <v>Комплект (Л + П)</v>
      </c>
      <c r="AM332" s="187" t="s">
        <v>25</v>
      </c>
      <c r="AN332" s="187" t="str">
        <f ca="1">Sprache!$A$127</f>
        <v>Пружина, белая</v>
      </c>
      <c r="AO332" s="187" t="str">
        <f ca="1">Sprache!$A$146</f>
        <v>Адаптер под алюминиевые рамки к комплекту Kinvaro T-71</v>
      </c>
      <c r="AP332" s="225" t="s">
        <v>821</v>
      </c>
      <c r="AQ332" s="187">
        <f>Limits!$K$9</f>
        <v>200</v>
      </c>
      <c r="AR332" s="124">
        <v>1200</v>
      </c>
      <c r="AS332" s="187"/>
      <c r="AT332" s="124"/>
    </row>
    <row r="333" spans="1:55" hidden="1" x14ac:dyDescent="0.25">
      <c r="A333" s="12" t="str">
        <f ca="1">IF(F333+G333+H333+I333+J333+D333+E333=3,IF(Tabelle2[[#This Row],[Kappe Weiß]]=Limits!$R$29,1,""),"")</f>
        <v/>
      </c>
      <c r="B333" s="12" t="str">
        <f ca="1">IF(G333+H333+I333+J333+E333+F333=2,IF(Tabelle2[[#This Row],[Kappe Weiß]]=Limits!$R$29,1,""),"")</f>
        <v/>
      </c>
      <c r="C333" s="291">
        <v>0</v>
      </c>
      <c r="D333" s="171">
        <f>IF(Limits!$P$8=TRUE,1,0)</f>
        <v>0</v>
      </c>
      <c r="E333" s="172">
        <f>IF(Daten!$P333+Daten!$Q333+Daten!$S333=3,1,0)</f>
        <v>0</v>
      </c>
      <c r="F333" s="173">
        <f ca="1">IF(AND(Limits!$Q$21=TRUE,Daten!O333=1)=TRUE,1,0)</f>
        <v>0</v>
      </c>
      <c r="G333" s="174">
        <f>IF(AND(Limits!$Q$25=TRUE,Daten!N333=1)=TRUE,1,0)</f>
        <v>0</v>
      </c>
      <c r="H333" s="174">
        <f>IF(AND(Limits!$Q$24=TRUE,Daten!M333=1)=TRUE,1,0)</f>
        <v>0</v>
      </c>
      <c r="I333" s="174">
        <f>IF(AND(Limits!$Q$23=TRUE,Daten!L333=1)=TRUE,1,0)</f>
        <v>0</v>
      </c>
      <c r="J333" s="174">
        <f>IF(AND(Limits!$Q$22=TRUE,Daten!K333=1)=TRUE,1,0)</f>
        <v>0</v>
      </c>
      <c r="K333" s="188">
        <f>IF(Daten!$V333=13,1,0)</f>
        <v>1</v>
      </c>
      <c r="L333" s="189">
        <f>IF(Daten!$V333&lt;&gt;Daten!$W333,1,IF(Daten!$V333=14,1,0))</f>
        <v>1</v>
      </c>
      <c r="M333" s="189">
        <f>IF(Daten!$V333&lt;&gt;Daten!$W333,1,IF(Daten!$V333=16,1,0))</f>
        <v>1</v>
      </c>
      <c r="N333" s="189">
        <f>IF(Daten!$W333=17,1,0)</f>
        <v>1</v>
      </c>
      <c r="O333" s="190">
        <f ca="1">IF(Daten!$X333=Sprache!$A$70,1,0)</f>
        <v>0</v>
      </c>
      <c r="P333" s="191">
        <f>IF(AND(Daten!$AQ333&lt;=KINVARO!$AW$3,Daten!$AR333&gt;=KINVARO!$AW$3)=TRUE,1,0)</f>
        <v>1</v>
      </c>
      <c r="Q333" s="191">
        <f>IF(AND(Daten!$AA333&lt;=KINVARO!$AW$4,Daten!$AB333&gt;=KINVARO!$AW$4)=TRUE,1,0)</f>
        <v>0</v>
      </c>
      <c r="R333" s="191"/>
      <c r="S333" s="191">
        <f>IF(AND(Daten!$AD333&lt;=Limits!$I$70,Daten!$AE333&gt;=Limits!$I$70)=TRUE,1,0)</f>
        <v>0</v>
      </c>
      <c r="T333" s="194">
        <f ca="1">IF(Daten!$Y333=Sprache!$A$135,1,0)</f>
        <v>1</v>
      </c>
      <c r="U333" s="187" t="str">
        <f ca="1">Sprache!$A$66</f>
        <v>T-71 Поворотный подъемник</v>
      </c>
      <c r="V333" s="194">
        <v>13</v>
      </c>
      <c r="W333" s="193">
        <v>17</v>
      </c>
      <c r="X333" s="187" t="str">
        <f ca="1">Sprache!$A$142</f>
        <v>Alu (Rahmen 19mm)</v>
      </c>
      <c r="Y333" s="187" t="str">
        <f ca="1">Sprache!$A$135</f>
        <v>ja</v>
      </c>
      <c r="Z333" s="187" t="str">
        <f ca="1">Sprache!$A$79</f>
        <v>Створка</v>
      </c>
      <c r="AA333" s="187">
        <v>450</v>
      </c>
      <c r="AB333" s="124">
        <v>499</v>
      </c>
      <c r="AC333" s="187"/>
      <c r="AD333" s="195">
        <v>2</v>
      </c>
      <c r="AE333" s="196">
        <v>5.8</v>
      </c>
      <c r="AF333" s="263" t="str">
        <f>MID(Tabelle2[[#This Row],[bnr full]],1,4)</f>
        <v>F151</v>
      </c>
      <c r="AG333" s="264" t="str">
        <f>MID(Tabelle2[[#This Row],[bnr full]],5,3)</f>
        <v>147</v>
      </c>
      <c r="AH333" s="265" t="str">
        <f>MID(Tabelle2[[#This Row],[bnr full]],8,3)</f>
        <v>696</v>
      </c>
      <c r="AI333" s="264" t="str">
        <f>MID(Tabelle2[[#This Row],[bnr full]],11,3)</f>
        <v>201</v>
      </c>
      <c r="AJ333" s="252" t="str">
        <f>MID(Tabelle2[[#This Row],[bnr full]],11,3)</f>
        <v>201</v>
      </c>
      <c r="AK333" s="197" t="s">
        <v>798</v>
      </c>
      <c r="AL333" s="124" t="str">
        <f ca="1">Sprache!$A$111</f>
        <v>Комплект (Л + П)</v>
      </c>
      <c r="AM333" s="187" t="s">
        <v>25</v>
      </c>
      <c r="AN333" s="187" t="str">
        <f ca="1">Sprache!$A$128</f>
        <v>Пружина, оранжевая</v>
      </c>
      <c r="AO333" s="187" t="str">
        <f ca="1">Sprache!$A$146</f>
        <v>Адаптер под алюминиевые рамки к комплекту Kinvaro T-71</v>
      </c>
      <c r="AP333" s="225" t="s">
        <v>821</v>
      </c>
      <c r="AQ333" s="187">
        <f>Limits!$K$9</f>
        <v>200</v>
      </c>
      <c r="AR333" s="124">
        <v>1200</v>
      </c>
      <c r="AS333" s="187"/>
      <c r="AT333" s="124"/>
      <c r="AU333"/>
      <c r="AV333"/>
      <c r="AY333"/>
      <c r="AZ333"/>
      <c r="BA333"/>
      <c r="BB333"/>
      <c r="BC333"/>
    </row>
    <row r="334" spans="1:55" hidden="1" x14ac:dyDescent="0.25">
      <c r="A334" s="12" t="str">
        <f ca="1">IF(F334+G334+H334+I334+J334+D334+E334=3,IF(Tabelle2[[#This Row],[Kappe Weiß]]=Limits!$R$29,1,""),"")</f>
        <v/>
      </c>
      <c r="B334" s="12" t="str">
        <f ca="1">IF(G334+H334+I334+J334+E334+F334=2,IF(Tabelle2[[#This Row],[Kappe Weiß]]=Limits!$R$29,1,""),"")</f>
        <v/>
      </c>
      <c r="C334" s="292">
        <v>0</v>
      </c>
      <c r="D334" s="171">
        <f>IF(Limits!$P$8=TRUE,1,0)</f>
        <v>0</v>
      </c>
      <c r="E334" s="172">
        <f>IF(Daten!$P334+Daten!$Q334+Daten!$S334=3,1,0)</f>
        <v>0</v>
      </c>
      <c r="F334" s="173">
        <f ca="1">IF(AND(Limits!$Q$21=TRUE,Daten!O334=1)=TRUE,1,0)</f>
        <v>1</v>
      </c>
      <c r="G334" s="174">
        <f ca="1">IF(AND(Limits!$Q$25=TRUE,Daten!N334=1)=TRUE,1,0)</f>
        <v>0</v>
      </c>
      <c r="H334" s="174">
        <f ca="1">IF(AND(Limits!$Q$24=TRUE,Daten!M334=1)=TRUE,1,0)</f>
        <v>0</v>
      </c>
      <c r="I334" s="174">
        <f ca="1">IF(AND(Limits!$Q$23=TRUE,Daten!L334=1)=TRUE,1,0)</f>
        <v>0</v>
      </c>
      <c r="J334" s="174">
        <f ca="1">IF(AND(Limits!$Q$22=TRUE,Daten!K334=1)=TRUE,1,0)</f>
        <v>0</v>
      </c>
      <c r="K334" s="188">
        <f ca="1">IF(Daten!$V334=13,1,0)</f>
        <v>0</v>
      </c>
      <c r="L334" s="189">
        <f ca="1">IF(Daten!$V334&lt;&gt;Daten!$W334,1,IF(Daten!$V334=14,1,0))</f>
        <v>0</v>
      </c>
      <c r="M334" s="189">
        <f ca="1">IF(Daten!$V334&lt;&gt;Daten!$W334,1,IF(Daten!$V334=16,1,0))</f>
        <v>0</v>
      </c>
      <c r="N334" s="189">
        <f ca="1">IF(Daten!$W334=17,1,0)</f>
        <v>0</v>
      </c>
      <c r="O334" s="190">
        <f ca="1">IF(Daten!$X334=Sprache!$A$70,1,0)</f>
        <v>1</v>
      </c>
      <c r="P334" s="198">
        <f>IF(AND(Daten!$AQ334&lt;=KINVARO!$AW$3,Daten!$AR334&gt;=KINVARO!$AW$3)=TRUE,1,0)</f>
        <v>1</v>
      </c>
      <c r="Q334" s="198">
        <f>IF(AND(Daten!$AA334&lt;=KINVARO!$AW$4,Daten!$AB334&gt;=KINVARO!$AW$4)=TRUE,1,0)</f>
        <v>0</v>
      </c>
      <c r="R334" s="198"/>
      <c r="S334" s="198">
        <f>IF(AND(Daten!$AD334&lt;=Limits!$I$70,Daten!$AE334&gt;=Limits!$I$70)=TRUE,1,0)</f>
        <v>0</v>
      </c>
      <c r="T334" s="202">
        <f ca="1">IF(Daten!$Y334=Sprache!$A$135,1,0)</f>
        <v>1</v>
      </c>
      <c r="U334" s="203" t="str">
        <f ca="1">Sprache!$A$66</f>
        <v>T-71 Поворотный подъемник</v>
      </c>
      <c r="V334" s="202" t="str">
        <f ca="1">Sprache!$A$74</f>
        <v>var</v>
      </c>
      <c r="W334" s="200" t="str">
        <f ca="1">Sprache!$A$74</f>
        <v>var</v>
      </c>
      <c r="X334" s="203" t="str">
        <f ca="1">Sprache!$A$70</f>
        <v>соединение с древесиной</v>
      </c>
      <c r="Y334" s="203" t="str">
        <f ca="1">Sprache!$A$135</f>
        <v>ja</v>
      </c>
      <c r="Z334" s="203" t="str">
        <f ca="1">Sprache!$A$79</f>
        <v>Створка</v>
      </c>
      <c r="AA334" s="203">
        <v>500</v>
      </c>
      <c r="AB334" s="201">
        <v>549</v>
      </c>
      <c r="AC334" s="203"/>
      <c r="AD334" s="204">
        <v>1.5</v>
      </c>
      <c r="AE334" s="205">
        <v>4</v>
      </c>
      <c r="AF334" s="266" t="str">
        <f>MID(Tabelle2[[#This Row],[bnr full]],1,4)</f>
        <v>F151</v>
      </c>
      <c r="AG334" s="267" t="str">
        <f>MID(Tabelle2[[#This Row],[bnr full]],5,3)</f>
        <v>147</v>
      </c>
      <c r="AH334" s="268" t="str">
        <f>MID(Tabelle2[[#This Row],[bnr full]],8,3)</f>
        <v>696</v>
      </c>
      <c r="AI334" s="267" t="str">
        <f>MID(Tabelle2[[#This Row],[bnr full]],11,3)</f>
        <v>201</v>
      </c>
      <c r="AJ334" s="253" t="str">
        <f>MID(Tabelle2[[#This Row],[bnr full]],11,3)</f>
        <v>201</v>
      </c>
      <c r="AK334" s="206" t="s">
        <v>798</v>
      </c>
      <c r="AL334" s="201" t="str">
        <f ca="1">Sprache!$A$111</f>
        <v>Комплект (Л + П)</v>
      </c>
      <c r="AM334" s="203" t="s">
        <v>25</v>
      </c>
      <c r="AN334" s="203" t="str">
        <f ca="1">Sprache!$A$127</f>
        <v>Пружина, белая</v>
      </c>
      <c r="AO334" s="203" t="s">
        <v>25</v>
      </c>
      <c r="AP334" s="203" t="s">
        <v>25</v>
      </c>
      <c r="AQ334" s="203">
        <f>Limits!$K$9</f>
        <v>200</v>
      </c>
      <c r="AR334" s="201">
        <v>1200</v>
      </c>
      <c r="AS334" s="187"/>
      <c r="AT334" s="124"/>
      <c r="AU334"/>
      <c r="AV334"/>
      <c r="AY334"/>
      <c r="AZ334"/>
      <c r="BA334"/>
      <c r="BB334"/>
      <c r="BC334"/>
    </row>
    <row r="335" spans="1:55" hidden="1" x14ac:dyDescent="0.25">
      <c r="A335" s="12" t="str">
        <f ca="1">IF(F335+G335+H335+I335+J335+D335+E335=3,IF(Tabelle2[[#This Row],[Kappe Weiß]]=Limits!$R$29,1,""),"")</f>
        <v/>
      </c>
      <c r="B335" s="12" t="str">
        <f ca="1">IF(G335+H335+I335+J335+E335+F335=2,IF(Tabelle2[[#This Row],[Kappe Weiß]]=Limits!$R$29,1,""),"")</f>
        <v/>
      </c>
      <c r="C335" s="291">
        <v>0</v>
      </c>
      <c r="D335" s="171">
        <f>IF(Limits!$P$8=TRUE,1,0)</f>
        <v>0</v>
      </c>
      <c r="E335" s="172">
        <f>IF(Daten!$P335+Daten!$Q335+Daten!$S335=3,1,0)</f>
        <v>0</v>
      </c>
      <c r="F335" s="173">
        <f ca="1">IF(AND(Limits!$Q$21=TRUE,Daten!O335=1)=TRUE,1,0)</f>
        <v>1</v>
      </c>
      <c r="G335" s="174">
        <f ca="1">IF(AND(Limits!$Q$25=TRUE,Daten!N335=1)=TRUE,1,0)</f>
        <v>0</v>
      </c>
      <c r="H335" s="174">
        <f ca="1">IF(AND(Limits!$Q$24=TRUE,Daten!M335=1)=TRUE,1,0)</f>
        <v>0</v>
      </c>
      <c r="I335" s="174">
        <f ca="1">IF(AND(Limits!$Q$23=TRUE,Daten!L335=1)=TRUE,1,0)</f>
        <v>0</v>
      </c>
      <c r="J335" s="174">
        <f ca="1">IF(AND(Limits!$Q$22=TRUE,Daten!K335=1)=TRUE,1,0)</f>
        <v>0</v>
      </c>
      <c r="K335" s="188">
        <f ca="1">IF(Daten!$V335=13,1,0)</f>
        <v>0</v>
      </c>
      <c r="L335" s="189">
        <f ca="1">IF(Daten!$V335&lt;&gt;Daten!$W335,1,IF(Daten!$V335=14,1,0))</f>
        <v>0</v>
      </c>
      <c r="M335" s="189">
        <f ca="1">IF(Daten!$V335&lt;&gt;Daten!$W335,1,IF(Daten!$V335=16,1,0))</f>
        <v>0</v>
      </c>
      <c r="N335" s="189">
        <f ca="1">IF(Daten!$W335=17,1,0)</f>
        <v>0</v>
      </c>
      <c r="O335" s="190">
        <f ca="1">IF(Daten!$X335=Sprache!$A$70,1,0)</f>
        <v>1</v>
      </c>
      <c r="P335" s="191">
        <f>IF(AND(Daten!$AQ335&lt;=KINVARO!$AW$3,Daten!$AR335&gt;=KINVARO!$AW$3)=TRUE,1,0)</f>
        <v>1</v>
      </c>
      <c r="Q335" s="191">
        <f>IF(AND(Daten!$AA335&lt;=KINVARO!$AW$4,Daten!$AB335&gt;=KINVARO!$AW$4)=TRUE,1,0)</f>
        <v>0</v>
      </c>
      <c r="R335" s="191"/>
      <c r="S335" s="191">
        <f>IF(AND(Daten!$AD335&lt;=Limits!$I$70,Daten!$AE335&gt;=Limits!$I$70)=TRUE,1,0)</f>
        <v>0</v>
      </c>
      <c r="T335" s="194">
        <f ca="1">IF(Daten!$Y335=Sprache!$A$135,1,0)</f>
        <v>1</v>
      </c>
      <c r="U335" s="187" t="str">
        <f ca="1">Sprache!$A$66</f>
        <v>T-71 Поворотный подъемник</v>
      </c>
      <c r="V335" s="194" t="str">
        <f ca="1">Sprache!$A$74</f>
        <v>var</v>
      </c>
      <c r="W335" s="193" t="str">
        <f ca="1">Sprache!$A$74</f>
        <v>var</v>
      </c>
      <c r="X335" s="187" t="str">
        <f ca="1">Sprache!$A$70</f>
        <v>соединение с древесиной</v>
      </c>
      <c r="Y335" s="187" t="str">
        <f ca="1">Sprache!$A$135</f>
        <v>ja</v>
      </c>
      <c r="Z335" s="187" t="str">
        <f ca="1">Sprache!$A$79</f>
        <v>Створка</v>
      </c>
      <c r="AA335" s="187">
        <v>500</v>
      </c>
      <c r="AB335" s="124">
        <v>549</v>
      </c>
      <c r="AC335" s="187"/>
      <c r="AD335" s="195">
        <v>1.8</v>
      </c>
      <c r="AE335" s="196">
        <v>5</v>
      </c>
      <c r="AF335" s="263" t="str">
        <f>MID(Tabelle2[[#This Row],[bnr full]],1,4)</f>
        <v>F151</v>
      </c>
      <c r="AG335" s="264" t="str">
        <f>MID(Tabelle2[[#This Row],[bnr full]],5,3)</f>
        <v>147</v>
      </c>
      <c r="AH335" s="265" t="str">
        <f>MID(Tabelle2[[#This Row],[bnr full]],8,3)</f>
        <v>696</v>
      </c>
      <c r="AI335" s="264" t="str">
        <f>MID(Tabelle2[[#This Row],[bnr full]],11,3)</f>
        <v>201</v>
      </c>
      <c r="AJ335" s="252" t="str">
        <f>MID(Tabelle2[[#This Row],[bnr full]],11,3)</f>
        <v>201</v>
      </c>
      <c r="AK335" s="197" t="s">
        <v>798</v>
      </c>
      <c r="AL335" s="124" t="str">
        <f ca="1">Sprache!$A$111</f>
        <v>Комплект (Л + П)</v>
      </c>
      <c r="AM335" s="187" t="s">
        <v>25</v>
      </c>
      <c r="AN335" s="187" t="str">
        <f ca="1">Sprache!$A$128</f>
        <v>Пружина, оранжевая</v>
      </c>
      <c r="AO335" s="187" t="s">
        <v>25</v>
      </c>
      <c r="AP335" s="187" t="s">
        <v>25</v>
      </c>
      <c r="AQ335" s="187">
        <f>Limits!$K$9</f>
        <v>200</v>
      </c>
      <c r="AR335" s="124">
        <v>1200</v>
      </c>
      <c r="AS335" s="187"/>
      <c r="AT335" s="124"/>
      <c r="AU335"/>
      <c r="AV335"/>
      <c r="AY335"/>
      <c r="AZ335"/>
      <c r="BA335"/>
      <c r="BB335"/>
      <c r="BC335"/>
    </row>
    <row r="336" spans="1:55" hidden="1" x14ac:dyDescent="0.25">
      <c r="A336" s="12" t="str">
        <f ca="1">IF(F336+G336+H336+I336+J336+D336+E336=3,IF(Tabelle2[[#This Row],[Kappe Weiß]]=Limits!$R$29,1,""),"")</f>
        <v/>
      </c>
      <c r="B336" s="12" t="str">
        <f ca="1">IF(G336+H336+I336+J336+E336+F336=2,IF(Tabelle2[[#This Row],[Kappe Weiß]]=Limits!$R$29,1,""),"")</f>
        <v/>
      </c>
      <c r="C336" s="291">
        <v>0</v>
      </c>
      <c r="D336" s="171">
        <f>IF(Limits!$P$8=TRUE,1,0)</f>
        <v>0</v>
      </c>
      <c r="E336" s="172">
        <f>IF(Daten!$P336+Daten!$Q336+Daten!$S336=3,1,0)</f>
        <v>0</v>
      </c>
      <c r="F336" s="173">
        <f ca="1">IF(AND(Limits!$Q$21=TRUE,Daten!O336=1)=TRUE,1,0)</f>
        <v>0</v>
      </c>
      <c r="G336" s="174">
        <f>IF(AND(Limits!$Q$25=TRUE,Daten!N336=1)=TRUE,1,0)</f>
        <v>0</v>
      </c>
      <c r="H336" s="174">
        <f>IF(AND(Limits!$Q$24=TRUE,Daten!M336=1)=TRUE,1,0)</f>
        <v>0</v>
      </c>
      <c r="I336" s="174">
        <f>IF(AND(Limits!$Q$23=TRUE,Daten!L336=1)=TRUE,1,0)</f>
        <v>0</v>
      </c>
      <c r="J336" s="174">
        <f>IF(AND(Limits!$Q$22=TRUE,Daten!K336=1)=TRUE,1,0)</f>
        <v>0</v>
      </c>
      <c r="K336" s="188">
        <f>IF(Daten!$V336=13,1,0)</f>
        <v>1</v>
      </c>
      <c r="L336" s="189">
        <f>IF(Daten!$V336&lt;&gt;Daten!$W336,1,IF(Daten!$V336=14,1,0))</f>
        <v>1</v>
      </c>
      <c r="M336" s="189">
        <f>IF(Daten!$V336&lt;&gt;Daten!$W336,1,IF(Daten!$V336=16,1,0))</f>
        <v>1</v>
      </c>
      <c r="N336" s="189">
        <f>IF(Daten!$W336=17,1,0)</f>
        <v>1</v>
      </c>
      <c r="O336" s="190">
        <f ca="1">IF(Daten!$X336=Sprache!$A$70,1,0)</f>
        <v>0</v>
      </c>
      <c r="P336" s="191">
        <f>IF(AND(Daten!$AQ336&lt;=KINVARO!$AW$3,Daten!$AR336&gt;=KINVARO!$AW$3)=TRUE,1,0)</f>
        <v>1</v>
      </c>
      <c r="Q336" s="191">
        <f>IF(AND(Daten!$AA336&lt;=KINVARO!$AW$4,Daten!$AB336&gt;=KINVARO!$AW$4)=TRUE,1,0)</f>
        <v>0</v>
      </c>
      <c r="R336" s="191"/>
      <c r="S336" s="191">
        <f>IF(AND(Daten!$AD336&lt;=Limits!$I$70,Daten!$AE336&gt;=Limits!$I$70)=TRUE,1,0)</f>
        <v>0</v>
      </c>
      <c r="T336" s="194">
        <f ca="1">IF(Daten!$Y336=Sprache!$A$135,1,0)</f>
        <v>1</v>
      </c>
      <c r="U336" s="187" t="str">
        <f ca="1">Sprache!$A$66</f>
        <v>T-71 Поворотный подъемник</v>
      </c>
      <c r="V336" s="194">
        <v>13</v>
      </c>
      <c r="W336" s="193">
        <v>17</v>
      </c>
      <c r="X336" s="187" t="str">
        <f ca="1">Sprache!$A$142</f>
        <v>Alu (Rahmen 19mm)</v>
      </c>
      <c r="Y336" s="187" t="str">
        <f ca="1">Sprache!$A$135</f>
        <v>ja</v>
      </c>
      <c r="Z336" s="187" t="str">
        <f ca="1">Sprache!$A$79</f>
        <v>Створка</v>
      </c>
      <c r="AA336" s="187">
        <v>500</v>
      </c>
      <c r="AB336" s="124">
        <v>549</v>
      </c>
      <c r="AC336" s="187"/>
      <c r="AD336" s="195">
        <v>1.5</v>
      </c>
      <c r="AE336" s="196">
        <v>4</v>
      </c>
      <c r="AF336" s="263" t="str">
        <f>MID(Tabelle2[[#This Row],[bnr full]],1,4)</f>
        <v>F151</v>
      </c>
      <c r="AG336" s="264" t="str">
        <f>MID(Tabelle2[[#This Row],[bnr full]],5,3)</f>
        <v>147</v>
      </c>
      <c r="AH336" s="265" t="str">
        <f>MID(Tabelle2[[#This Row],[bnr full]],8,3)</f>
        <v>696</v>
      </c>
      <c r="AI336" s="264" t="str">
        <f>MID(Tabelle2[[#This Row],[bnr full]],11,3)</f>
        <v>201</v>
      </c>
      <c r="AJ336" s="252" t="str">
        <f>MID(Tabelle2[[#This Row],[bnr full]],11,3)</f>
        <v>201</v>
      </c>
      <c r="AK336" s="197" t="s">
        <v>798</v>
      </c>
      <c r="AL336" s="124" t="str">
        <f ca="1">Sprache!$A$111</f>
        <v>Комплект (Л + П)</v>
      </c>
      <c r="AM336" s="187" t="s">
        <v>25</v>
      </c>
      <c r="AN336" s="187" t="str">
        <f ca="1">Sprache!$A$127</f>
        <v>Пружина, белая</v>
      </c>
      <c r="AO336" s="187" t="str">
        <f ca="1">Sprache!$A$146</f>
        <v>Адаптер под алюминиевые рамки к комплекту Kinvaro T-71</v>
      </c>
      <c r="AP336" s="225" t="s">
        <v>821</v>
      </c>
      <c r="AQ336" s="187">
        <f>Limits!$K$9</f>
        <v>200</v>
      </c>
      <c r="AR336" s="124">
        <v>1200</v>
      </c>
      <c r="AS336" s="187"/>
      <c r="AT336" s="124"/>
      <c r="AU336"/>
      <c r="AV336"/>
      <c r="AY336"/>
      <c r="AZ336"/>
      <c r="BA336"/>
      <c r="BB336"/>
      <c r="BC336"/>
    </row>
    <row r="337" spans="1:55" s="8" customFormat="1" ht="15.75" hidden="1" thickBot="1" x14ac:dyDescent="0.3">
      <c r="A337" s="12" t="str">
        <f ca="1">IF(F337+G337+H337+I337+J337+D337+E337=3,IF(Tabelle2[[#This Row],[Kappe Weiß]]=Limits!$R$29,1,""),"")</f>
        <v/>
      </c>
      <c r="B337" s="12" t="str">
        <f ca="1">IF(G337+H337+I337+J337+E337+F337=2,IF(Tabelle2[[#This Row],[Kappe Weiß]]=Limits!$R$29,1,""),"")</f>
        <v/>
      </c>
      <c r="C337" s="291">
        <v>0</v>
      </c>
      <c r="D337" s="171">
        <f>IF(Limits!$P$8=TRUE,1,0)</f>
        <v>0</v>
      </c>
      <c r="E337" s="172">
        <f>IF(Daten!$P337+Daten!$Q337+Daten!$S337=3,1,0)</f>
        <v>0</v>
      </c>
      <c r="F337" s="173">
        <f ca="1">IF(AND(Limits!$Q$21=TRUE,Daten!O337=1)=TRUE,1,0)</f>
        <v>0</v>
      </c>
      <c r="G337" s="174">
        <f>IF(AND(Limits!$Q$25=TRUE,Daten!N337=1)=TRUE,1,0)</f>
        <v>0</v>
      </c>
      <c r="H337" s="174">
        <f>IF(AND(Limits!$Q$24=TRUE,Daten!M337=1)=TRUE,1,0)</f>
        <v>0</v>
      </c>
      <c r="I337" s="174">
        <f>IF(AND(Limits!$Q$23=TRUE,Daten!L337=1)=TRUE,1,0)</f>
        <v>0</v>
      </c>
      <c r="J337" s="174">
        <f>IF(AND(Limits!$Q$22=TRUE,Daten!K337=1)=TRUE,1,0)</f>
        <v>0</v>
      </c>
      <c r="K337" s="188">
        <f>IF(Daten!$V337=13,1,0)</f>
        <v>1</v>
      </c>
      <c r="L337" s="189">
        <f>IF(Daten!$V337&lt;&gt;Daten!$W337,1,IF(Daten!$V337=14,1,0))</f>
        <v>1</v>
      </c>
      <c r="M337" s="189">
        <f>IF(Daten!$V337&lt;&gt;Daten!$W337,1,IF(Daten!$V337=16,1,0))</f>
        <v>1</v>
      </c>
      <c r="N337" s="189">
        <f>IF(Daten!$W337=17,1,0)</f>
        <v>1</v>
      </c>
      <c r="O337" s="190">
        <f ca="1">IF(Daten!$X337=Sprache!$A$70,1,0)</f>
        <v>0</v>
      </c>
      <c r="P337" s="191">
        <f>IF(AND(Daten!$AQ337&lt;=KINVARO!$AW$3,Daten!$AR337&gt;=KINVARO!$AW$3)=TRUE,1,0)</f>
        <v>1</v>
      </c>
      <c r="Q337" s="191">
        <f>IF(AND(Daten!$AA337&lt;=KINVARO!$AW$4,Daten!$AB337&gt;=KINVARO!$AW$4)=TRUE,1,0)</f>
        <v>0</v>
      </c>
      <c r="R337" s="191"/>
      <c r="S337" s="191">
        <f>IF(AND(Daten!$AD337&lt;=Limits!$I$70,Daten!$AE337&gt;=Limits!$I$70)=TRUE,1,0)</f>
        <v>0</v>
      </c>
      <c r="T337" s="194">
        <f ca="1">IF(Daten!$Y337=Sprache!$A$135,1,0)</f>
        <v>1</v>
      </c>
      <c r="U337" s="187" t="str">
        <f ca="1">Sprache!$A$66</f>
        <v>T-71 Поворотный подъемник</v>
      </c>
      <c r="V337" s="194">
        <v>13</v>
      </c>
      <c r="W337" s="193">
        <v>17</v>
      </c>
      <c r="X337" s="187" t="str">
        <f ca="1">Sprache!$A$142</f>
        <v>Alu (Rahmen 19mm)</v>
      </c>
      <c r="Y337" s="187" t="str">
        <f ca="1">Sprache!$A$135</f>
        <v>ja</v>
      </c>
      <c r="Z337" s="187" t="str">
        <f ca="1">Sprache!$A$79</f>
        <v>Створка</v>
      </c>
      <c r="AA337" s="187">
        <v>500</v>
      </c>
      <c r="AB337" s="124">
        <v>549</v>
      </c>
      <c r="AC337" s="187"/>
      <c r="AD337" s="195">
        <v>1.8</v>
      </c>
      <c r="AE337" s="196">
        <v>5</v>
      </c>
      <c r="AF337" s="263" t="str">
        <f>MID(Tabelle2[[#This Row],[bnr full]],1,4)</f>
        <v>F151</v>
      </c>
      <c r="AG337" s="264" t="str">
        <f>MID(Tabelle2[[#This Row],[bnr full]],5,3)</f>
        <v>147</v>
      </c>
      <c r="AH337" s="265" t="str">
        <f>MID(Tabelle2[[#This Row],[bnr full]],8,3)</f>
        <v>696</v>
      </c>
      <c r="AI337" s="264" t="str">
        <f>MID(Tabelle2[[#This Row],[bnr full]],11,3)</f>
        <v>201</v>
      </c>
      <c r="AJ337" s="252" t="str">
        <f>MID(Tabelle2[[#This Row],[bnr full]],11,3)</f>
        <v>201</v>
      </c>
      <c r="AK337" s="197" t="s">
        <v>798</v>
      </c>
      <c r="AL337" s="124" t="str">
        <f ca="1">Sprache!$A$111</f>
        <v>Комплект (Л + П)</v>
      </c>
      <c r="AM337" s="187" t="s">
        <v>25</v>
      </c>
      <c r="AN337" s="187" t="str">
        <f ca="1">Sprache!$A$128</f>
        <v>Пружина, оранжевая</v>
      </c>
      <c r="AO337" s="187" t="str">
        <f ca="1">Sprache!$A$146</f>
        <v>Адаптер под алюминиевые рамки к комплекту Kinvaro T-71</v>
      </c>
      <c r="AP337" s="225" t="s">
        <v>821</v>
      </c>
      <c r="AQ337" s="187">
        <f>Limits!$K$9</f>
        <v>200</v>
      </c>
      <c r="AR337" s="124">
        <v>1200</v>
      </c>
      <c r="AS337" s="187"/>
      <c r="AT337" s="124"/>
    </row>
    <row r="338" spans="1:55" hidden="1" x14ac:dyDescent="0.25">
      <c r="A338" s="12" t="str">
        <f ca="1">IF(F338+G338+H338+I338+J338+D338+E338=3,IF(Tabelle2[[#This Row],[Kappe Weiß]]=Limits!$R$29,1,""),"")</f>
        <v/>
      </c>
      <c r="B338" s="12" t="str">
        <f ca="1">IF(G338+H338+I338+J338+E338+F338=2,IF(Tabelle2[[#This Row],[Kappe Weiß]]=Limits!$R$29,1,""),"")</f>
        <v/>
      </c>
      <c r="C338" s="292">
        <v>0</v>
      </c>
      <c r="D338" s="171">
        <f>IF(Limits!$P$8=TRUE,1,0)</f>
        <v>0</v>
      </c>
      <c r="E338" s="172">
        <f>IF(Daten!$P338+Daten!$Q338+Daten!$S338=3,1,0)</f>
        <v>0</v>
      </c>
      <c r="F338" s="173">
        <f ca="1">IF(AND(Limits!$Q$21=TRUE,Daten!O338=1)=TRUE,1,0)</f>
        <v>1</v>
      </c>
      <c r="G338" s="174">
        <f ca="1">IF(AND(Limits!$Q$25=TRUE,Daten!N338=1)=TRUE,1,0)</f>
        <v>0</v>
      </c>
      <c r="H338" s="174">
        <f ca="1">IF(AND(Limits!$Q$24=TRUE,Daten!M338=1)=TRUE,1,0)</f>
        <v>0</v>
      </c>
      <c r="I338" s="174">
        <f ca="1">IF(AND(Limits!$Q$23=TRUE,Daten!L338=1)=TRUE,1,0)</f>
        <v>0</v>
      </c>
      <c r="J338" s="174">
        <f ca="1">IF(AND(Limits!$Q$22=TRUE,Daten!K338=1)=TRUE,1,0)</f>
        <v>0</v>
      </c>
      <c r="K338" s="188">
        <f ca="1">IF(Daten!$V338=13,1,0)</f>
        <v>0</v>
      </c>
      <c r="L338" s="189">
        <f ca="1">IF(Daten!$V338&lt;&gt;Daten!$W338,1,IF(Daten!$V338=14,1,0))</f>
        <v>0</v>
      </c>
      <c r="M338" s="189">
        <f ca="1">IF(Daten!$V338&lt;&gt;Daten!$W338,1,IF(Daten!$V338=16,1,0))</f>
        <v>0</v>
      </c>
      <c r="N338" s="189">
        <f ca="1">IF(Daten!$W338=17,1,0)</f>
        <v>0</v>
      </c>
      <c r="O338" s="190">
        <f ca="1">IF(Daten!$X338=Sprache!$A$70,1,0)</f>
        <v>1</v>
      </c>
      <c r="P338" s="198">
        <f>IF(AND(Daten!$AQ338&lt;=KINVARO!$AW$3,Daten!$AR338&gt;=KINVARO!$AW$3)=TRUE,1,0)</f>
        <v>1</v>
      </c>
      <c r="Q338" s="198">
        <f>IF(AND(Daten!$AA338&lt;=KINVARO!$AW$4,Daten!$AB338&gt;=KINVARO!$AW$4)=TRUE,1,0)</f>
        <v>0</v>
      </c>
      <c r="R338" s="198"/>
      <c r="S338" s="198">
        <f>IF(AND(Daten!$AD338&lt;=Limits!$I$70,Daten!$AE338&gt;=Limits!$I$70)=TRUE,1,0)</f>
        <v>0</v>
      </c>
      <c r="T338" s="202">
        <f ca="1">IF(Daten!$Y338=Sprache!$A$135,1,0)</f>
        <v>1</v>
      </c>
      <c r="U338" s="203" t="str">
        <f ca="1">Sprache!$A$66</f>
        <v>T-71 Поворотный подъемник</v>
      </c>
      <c r="V338" s="202" t="str">
        <f ca="1">Sprache!$A$74</f>
        <v>var</v>
      </c>
      <c r="W338" s="200" t="str">
        <f ca="1">Sprache!$A$74</f>
        <v>var</v>
      </c>
      <c r="X338" s="203" t="str">
        <f ca="1">Sprache!$A$70</f>
        <v>соединение с древесиной</v>
      </c>
      <c r="Y338" s="203" t="str">
        <f ca="1">Sprache!$A$135</f>
        <v>ja</v>
      </c>
      <c r="Z338" s="203" t="str">
        <f ca="1">Sprache!$A$79</f>
        <v>Створка</v>
      </c>
      <c r="AA338" s="203">
        <v>550</v>
      </c>
      <c r="AB338" s="201">
        <v>599</v>
      </c>
      <c r="AC338" s="203"/>
      <c r="AD338" s="204">
        <v>1.4</v>
      </c>
      <c r="AE338" s="205">
        <v>3.7</v>
      </c>
      <c r="AF338" s="266" t="str">
        <f>MID(Tabelle2[[#This Row],[bnr full]],1,4)</f>
        <v>F151</v>
      </c>
      <c r="AG338" s="267" t="str">
        <f>MID(Tabelle2[[#This Row],[bnr full]],5,3)</f>
        <v>147</v>
      </c>
      <c r="AH338" s="268" t="str">
        <f>MID(Tabelle2[[#This Row],[bnr full]],8,3)</f>
        <v>696</v>
      </c>
      <c r="AI338" s="267" t="str">
        <f>MID(Tabelle2[[#This Row],[bnr full]],11,3)</f>
        <v>201</v>
      </c>
      <c r="AJ338" s="253" t="str">
        <f>MID(Tabelle2[[#This Row],[bnr full]],11,3)</f>
        <v>201</v>
      </c>
      <c r="AK338" s="206" t="s">
        <v>798</v>
      </c>
      <c r="AL338" s="201" t="str">
        <f ca="1">Sprache!$A$111</f>
        <v>Комплект (Л + П)</v>
      </c>
      <c r="AM338" s="203" t="s">
        <v>25</v>
      </c>
      <c r="AN338" s="203" t="str">
        <f ca="1">Sprache!$A$127</f>
        <v>Пружина, белая</v>
      </c>
      <c r="AO338" s="203" t="s">
        <v>25</v>
      </c>
      <c r="AP338" s="203" t="s">
        <v>25</v>
      </c>
      <c r="AQ338" s="203">
        <f>Limits!$K$9</f>
        <v>200</v>
      </c>
      <c r="AR338" s="201">
        <v>1200</v>
      </c>
      <c r="AS338" s="187"/>
      <c r="AT338" s="124"/>
      <c r="AU338"/>
      <c r="AV338"/>
      <c r="AY338"/>
      <c r="AZ338"/>
      <c r="BA338"/>
      <c r="BB338"/>
      <c r="BC338"/>
    </row>
    <row r="339" spans="1:55" hidden="1" x14ac:dyDescent="0.25">
      <c r="A339" s="12" t="str">
        <f ca="1">IF(F339+G339+H339+I339+J339+D339+E339=3,IF(Tabelle2[[#This Row],[Kappe Weiß]]=Limits!$R$29,1,""),"")</f>
        <v/>
      </c>
      <c r="B339" s="12" t="str">
        <f ca="1">IF(G339+H339+I339+J339+E339+F339=2,IF(Tabelle2[[#This Row],[Kappe Weiß]]=Limits!$R$29,1,""),"")</f>
        <v/>
      </c>
      <c r="C339" s="291">
        <v>0</v>
      </c>
      <c r="D339" s="171">
        <f>IF(Limits!$P$8=TRUE,1,0)</f>
        <v>0</v>
      </c>
      <c r="E339" s="172">
        <f>IF(Daten!$P339+Daten!$Q339+Daten!$S339=3,1,0)</f>
        <v>0</v>
      </c>
      <c r="F339" s="173">
        <f ca="1">IF(AND(Limits!$Q$21=TRUE,Daten!O339=1)=TRUE,1,0)</f>
        <v>1</v>
      </c>
      <c r="G339" s="174">
        <f ca="1">IF(AND(Limits!$Q$25=TRUE,Daten!N339=1)=TRUE,1,0)</f>
        <v>0</v>
      </c>
      <c r="H339" s="174">
        <f ca="1">IF(AND(Limits!$Q$24=TRUE,Daten!M339=1)=TRUE,1,0)</f>
        <v>0</v>
      </c>
      <c r="I339" s="174">
        <f ca="1">IF(AND(Limits!$Q$23=TRUE,Daten!L339=1)=TRUE,1,0)</f>
        <v>0</v>
      </c>
      <c r="J339" s="174">
        <f ca="1">IF(AND(Limits!$Q$22=TRUE,Daten!K339=1)=TRUE,1,0)</f>
        <v>0</v>
      </c>
      <c r="K339" s="188">
        <f ca="1">IF(Daten!$V339=13,1,0)</f>
        <v>0</v>
      </c>
      <c r="L339" s="189">
        <f ca="1">IF(Daten!$V339&lt;&gt;Daten!$W339,1,IF(Daten!$V339=14,1,0))</f>
        <v>0</v>
      </c>
      <c r="M339" s="189">
        <f ca="1">IF(Daten!$V339&lt;&gt;Daten!$W339,1,IF(Daten!$V339=16,1,0))</f>
        <v>0</v>
      </c>
      <c r="N339" s="189">
        <f ca="1">IF(Daten!$W339=17,1,0)</f>
        <v>0</v>
      </c>
      <c r="O339" s="190">
        <f ca="1">IF(Daten!$X339=Sprache!$A$70,1,0)</f>
        <v>1</v>
      </c>
      <c r="P339" s="191">
        <f>IF(AND(Daten!$AQ339&lt;=KINVARO!$AW$3,Daten!$AR339&gt;=KINVARO!$AW$3)=TRUE,1,0)</f>
        <v>1</v>
      </c>
      <c r="Q339" s="191">
        <f>IF(AND(Daten!$AA339&lt;=KINVARO!$AW$4,Daten!$AB339&gt;=KINVARO!$AW$4)=TRUE,1,0)</f>
        <v>0</v>
      </c>
      <c r="R339" s="191"/>
      <c r="S339" s="191">
        <f>IF(AND(Daten!$AD339&lt;=Limits!$I$70,Daten!$AE339&gt;=Limits!$I$70)=TRUE,1,0)</f>
        <v>0</v>
      </c>
      <c r="T339" s="194">
        <f ca="1">IF(Daten!$Y339=Sprache!$A$135,1,0)</f>
        <v>1</v>
      </c>
      <c r="U339" s="187" t="str">
        <f ca="1">Sprache!$A$66</f>
        <v>T-71 Поворотный подъемник</v>
      </c>
      <c r="V339" s="194" t="str">
        <f ca="1">Sprache!$A$74</f>
        <v>var</v>
      </c>
      <c r="W339" s="193" t="str">
        <f ca="1">Sprache!$A$74</f>
        <v>var</v>
      </c>
      <c r="X339" s="187" t="str">
        <f ca="1">Sprache!$A$70</f>
        <v>соединение с древесиной</v>
      </c>
      <c r="Y339" s="187" t="str">
        <f ca="1">Sprache!$A$135</f>
        <v>ja</v>
      </c>
      <c r="Z339" s="187" t="str">
        <f ca="1">Sprache!$A$79</f>
        <v>Створка</v>
      </c>
      <c r="AA339" s="187">
        <v>550</v>
      </c>
      <c r="AB339" s="124">
        <v>599</v>
      </c>
      <c r="AC339" s="187"/>
      <c r="AD339" s="195">
        <v>1.6</v>
      </c>
      <c r="AE339" s="196">
        <v>4.5999999999999996</v>
      </c>
      <c r="AF339" s="263" t="str">
        <f>MID(Tabelle2[[#This Row],[bnr full]],1,4)</f>
        <v>F151</v>
      </c>
      <c r="AG339" s="264" t="str">
        <f>MID(Tabelle2[[#This Row],[bnr full]],5,3)</f>
        <v>147</v>
      </c>
      <c r="AH339" s="265" t="str">
        <f>MID(Tabelle2[[#This Row],[bnr full]],8,3)</f>
        <v>696</v>
      </c>
      <c r="AI339" s="264" t="str">
        <f>MID(Tabelle2[[#This Row],[bnr full]],11,3)</f>
        <v>201</v>
      </c>
      <c r="AJ339" s="252" t="str">
        <f>MID(Tabelle2[[#This Row],[bnr full]],11,3)</f>
        <v>201</v>
      </c>
      <c r="AK339" s="197" t="s">
        <v>798</v>
      </c>
      <c r="AL339" s="124" t="str">
        <f ca="1">Sprache!$A$111</f>
        <v>Комплект (Л + П)</v>
      </c>
      <c r="AM339" s="187" t="s">
        <v>25</v>
      </c>
      <c r="AN339" s="187" t="str">
        <f ca="1">Sprache!$A$128</f>
        <v>Пружина, оранжевая</v>
      </c>
      <c r="AO339" s="187" t="s">
        <v>25</v>
      </c>
      <c r="AP339" s="187" t="s">
        <v>25</v>
      </c>
      <c r="AQ339" s="187">
        <f>Limits!$K$9</f>
        <v>200</v>
      </c>
      <c r="AR339" s="124">
        <v>1200</v>
      </c>
      <c r="AS339" s="187"/>
      <c r="AT339" s="124"/>
      <c r="AU339"/>
      <c r="AV339"/>
      <c r="AY339"/>
      <c r="AZ339"/>
      <c r="BA339"/>
      <c r="BB339"/>
      <c r="BC339"/>
    </row>
    <row r="340" spans="1:55" hidden="1" x14ac:dyDescent="0.25">
      <c r="A340" s="12" t="str">
        <f ca="1">IF(F340+G340+H340+I340+J340+D340+E340=3,IF(Tabelle2[[#This Row],[Kappe Weiß]]=Limits!$R$29,1,""),"")</f>
        <v/>
      </c>
      <c r="B340" s="12" t="str">
        <f ca="1">IF(G340+H340+I340+J340+E340+F340=2,IF(Tabelle2[[#This Row],[Kappe Weiß]]=Limits!$R$29,1,""),"")</f>
        <v/>
      </c>
      <c r="C340" s="291">
        <v>0</v>
      </c>
      <c r="D340" s="171">
        <f>IF(Limits!$P$8=TRUE,1,0)</f>
        <v>0</v>
      </c>
      <c r="E340" s="172">
        <f>IF(Daten!$P340+Daten!$Q340+Daten!$S340=3,1,0)</f>
        <v>0</v>
      </c>
      <c r="F340" s="173">
        <f ca="1">IF(AND(Limits!$Q$21=TRUE,Daten!O340=1)=TRUE,1,0)</f>
        <v>0</v>
      </c>
      <c r="G340" s="174">
        <f>IF(AND(Limits!$Q$25=TRUE,Daten!N340=1)=TRUE,1,0)</f>
        <v>0</v>
      </c>
      <c r="H340" s="174">
        <f>IF(AND(Limits!$Q$24=TRUE,Daten!M340=1)=TRUE,1,0)</f>
        <v>0</v>
      </c>
      <c r="I340" s="174">
        <f>IF(AND(Limits!$Q$23=TRUE,Daten!L340=1)=TRUE,1,0)</f>
        <v>0</v>
      </c>
      <c r="J340" s="174">
        <f>IF(AND(Limits!$Q$22=TRUE,Daten!K340=1)=TRUE,1,0)</f>
        <v>0</v>
      </c>
      <c r="K340" s="188">
        <f>IF(Daten!$V340=13,1,0)</f>
        <v>1</v>
      </c>
      <c r="L340" s="189">
        <f>IF(Daten!$V340&lt;&gt;Daten!$W340,1,IF(Daten!$V340=14,1,0))</f>
        <v>1</v>
      </c>
      <c r="M340" s="189">
        <f>IF(Daten!$V340&lt;&gt;Daten!$W340,1,IF(Daten!$V340=16,1,0))</f>
        <v>1</v>
      </c>
      <c r="N340" s="189">
        <f>IF(Daten!$W340=17,1,0)</f>
        <v>1</v>
      </c>
      <c r="O340" s="190">
        <f ca="1">IF(Daten!$X340=Sprache!$A$70,1,0)</f>
        <v>0</v>
      </c>
      <c r="P340" s="191">
        <f>IF(AND(Daten!$AQ340&lt;=KINVARO!$AW$3,Daten!$AR340&gt;=KINVARO!$AW$3)=TRUE,1,0)</f>
        <v>1</v>
      </c>
      <c r="Q340" s="191">
        <f>IF(AND(Daten!$AA340&lt;=KINVARO!$AW$4,Daten!$AB340&gt;=KINVARO!$AW$4)=TRUE,1,0)</f>
        <v>0</v>
      </c>
      <c r="R340" s="191"/>
      <c r="S340" s="191">
        <f>IF(AND(Daten!$AD340&lt;=Limits!$I$70,Daten!$AE340&gt;=Limits!$I$70)=TRUE,1,0)</f>
        <v>0</v>
      </c>
      <c r="T340" s="194">
        <f ca="1">IF(Daten!$Y340=Sprache!$A$135,1,0)</f>
        <v>1</v>
      </c>
      <c r="U340" s="187" t="str">
        <f ca="1">Sprache!$A$66</f>
        <v>T-71 Поворотный подъемник</v>
      </c>
      <c r="V340" s="194">
        <v>13</v>
      </c>
      <c r="W340" s="193">
        <v>17</v>
      </c>
      <c r="X340" s="187" t="str">
        <f ca="1">Sprache!$A$142</f>
        <v>Alu (Rahmen 19mm)</v>
      </c>
      <c r="Y340" s="187" t="str">
        <f ca="1">Sprache!$A$135</f>
        <v>ja</v>
      </c>
      <c r="Z340" s="187" t="str">
        <f ca="1">Sprache!$A$79</f>
        <v>Створка</v>
      </c>
      <c r="AA340" s="187">
        <v>550</v>
      </c>
      <c r="AB340" s="124">
        <v>599</v>
      </c>
      <c r="AC340" s="187"/>
      <c r="AD340" s="195">
        <v>1.4</v>
      </c>
      <c r="AE340" s="196">
        <v>3.7</v>
      </c>
      <c r="AF340" s="263" t="str">
        <f>MID(Tabelle2[[#This Row],[bnr full]],1,4)</f>
        <v>F151</v>
      </c>
      <c r="AG340" s="264" t="str">
        <f>MID(Tabelle2[[#This Row],[bnr full]],5,3)</f>
        <v>147</v>
      </c>
      <c r="AH340" s="265" t="str">
        <f>MID(Tabelle2[[#This Row],[bnr full]],8,3)</f>
        <v>696</v>
      </c>
      <c r="AI340" s="264" t="str">
        <f>MID(Tabelle2[[#This Row],[bnr full]],11,3)</f>
        <v>201</v>
      </c>
      <c r="AJ340" s="252" t="str">
        <f>MID(Tabelle2[[#This Row],[bnr full]],11,3)</f>
        <v>201</v>
      </c>
      <c r="AK340" s="197" t="s">
        <v>798</v>
      </c>
      <c r="AL340" s="124" t="str">
        <f ca="1">Sprache!$A$111</f>
        <v>Комплект (Л + П)</v>
      </c>
      <c r="AM340" s="187" t="s">
        <v>25</v>
      </c>
      <c r="AN340" s="187" t="str">
        <f ca="1">Sprache!$A$127</f>
        <v>Пружина, белая</v>
      </c>
      <c r="AO340" s="187" t="str">
        <f ca="1">Sprache!$A$146</f>
        <v>Адаптер под алюминиевые рамки к комплекту Kinvaro T-71</v>
      </c>
      <c r="AP340" s="225" t="s">
        <v>821</v>
      </c>
      <c r="AQ340" s="187">
        <f>Limits!$K$9</f>
        <v>200</v>
      </c>
      <c r="AR340" s="124">
        <v>1200</v>
      </c>
      <c r="AS340" s="187"/>
      <c r="AT340" s="124"/>
      <c r="AU340"/>
      <c r="AV340"/>
      <c r="AY340"/>
      <c r="AZ340"/>
      <c r="BA340"/>
      <c r="BB340"/>
      <c r="BC340"/>
    </row>
    <row r="341" spans="1:55" s="5" customFormat="1" hidden="1" x14ac:dyDescent="0.25">
      <c r="A341" s="12" t="str">
        <f ca="1">IF(F341+G341+H341+I341+J341+D341+E341=3,IF(Tabelle2[[#This Row],[Kappe Weiß]]=Limits!$R$29,1,""),"")</f>
        <v/>
      </c>
      <c r="B341" s="12" t="str">
        <f ca="1">IF(G341+H341+I341+J341+E341+F341=2,IF(Tabelle2[[#This Row],[Kappe Weiß]]=Limits!$R$29,1,""),"")</f>
        <v/>
      </c>
      <c r="C341" s="291">
        <v>0</v>
      </c>
      <c r="D341" s="171">
        <f>IF(Limits!$P$8=TRUE,1,0)</f>
        <v>0</v>
      </c>
      <c r="E341" s="172">
        <f>IF(Daten!$P341+Daten!$Q341+Daten!$S341=3,1,0)</f>
        <v>0</v>
      </c>
      <c r="F341" s="173">
        <f ca="1">IF(AND(Limits!$Q$21=TRUE,Daten!O341=1)=TRUE,1,0)</f>
        <v>0</v>
      </c>
      <c r="G341" s="174">
        <f>IF(AND(Limits!$Q$25=TRUE,Daten!N341=1)=TRUE,1,0)</f>
        <v>0</v>
      </c>
      <c r="H341" s="174">
        <f>IF(AND(Limits!$Q$24=TRUE,Daten!M341=1)=TRUE,1,0)</f>
        <v>0</v>
      </c>
      <c r="I341" s="174">
        <f>IF(AND(Limits!$Q$23=TRUE,Daten!L341=1)=TRUE,1,0)</f>
        <v>0</v>
      </c>
      <c r="J341" s="174">
        <f>IF(AND(Limits!$Q$22=TRUE,Daten!K341=1)=TRUE,1,0)</f>
        <v>0</v>
      </c>
      <c r="K341" s="188">
        <f>IF(Daten!$V341=13,1,0)</f>
        <v>1</v>
      </c>
      <c r="L341" s="189">
        <f>IF(Daten!$V341&lt;&gt;Daten!$W341,1,IF(Daten!$V341=14,1,0))</f>
        <v>1</v>
      </c>
      <c r="M341" s="189">
        <f>IF(Daten!$V341&lt;&gt;Daten!$W341,1,IF(Daten!$V341=16,1,0))</f>
        <v>1</v>
      </c>
      <c r="N341" s="189">
        <f>IF(Daten!$W341=17,1,0)</f>
        <v>1</v>
      </c>
      <c r="O341" s="190">
        <f ca="1">IF(Daten!$X341=Sprache!$A$70,1,0)</f>
        <v>0</v>
      </c>
      <c r="P341" s="191">
        <f>IF(AND(Daten!$AQ341&lt;=KINVARO!$AW$3,Daten!$AR341&gt;=KINVARO!$AW$3)=TRUE,1,0)</f>
        <v>1</v>
      </c>
      <c r="Q341" s="191">
        <f>IF(AND(Daten!$AA341&lt;=KINVARO!$AW$4,Daten!$AB341&gt;=KINVARO!$AW$4)=TRUE,1,0)</f>
        <v>0</v>
      </c>
      <c r="R341" s="191"/>
      <c r="S341" s="191">
        <f>IF(AND(Daten!$AD341&lt;=Limits!$I$70,Daten!$AE341&gt;=Limits!$I$70)=TRUE,1,0)</f>
        <v>0</v>
      </c>
      <c r="T341" s="194">
        <f ca="1">IF(Daten!$Y341=Sprache!$A$135,1,0)</f>
        <v>1</v>
      </c>
      <c r="U341" s="187" t="str">
        <f ca="1">Sprache!$A$66</f>
        <v>T-71 Поворотный подъемник</v>
      </c>
      <c r="V341" s="194">
        <v>13</v>
      </c>
      <c r="W341" s="193">
        <v>17</v>
      </c>
      <c r="X341" s="187" t="str">
        <f ca="1">Sprache!$A$142</f>
        <v>Alu (Rahmen 19mm)</v>
      </c>
      <c r="Y341" s="187" t="str">
        <f ca="1">Sprache!$A$135</f>
        <v>ja</v>
      </c>
      <c r="Z341" s="187" t="str">
        <f ca="1">Sprache!$A$79</f>
        <v>Створка</v>
      </c>
      <c r="AA341" s="187">
        <v>550</v>
      </c>
      <c r="AB341" s="124">
        <v>599</v>
      </c>
      <c r="AC341" s="187"/>
      <c r="AD341" s="195">
        <v>1.6</v>
      </c>
      <c r="AE341" s="196">
        <v>4.5999999999999996</v>
      </c>
      <c r="AF341" s="263" t="str">
        <f>MID(Tabelle2[[#This Row],[bnr full]],1,4)</f>
        <v>F151</v>
      </c>
      <c r="AG341" s="264" t="str">
        <f>MID(Tabelle2[[#This Row],[bnr full]],5,3)</f>
        <v>147</v>
      </c>
      <c r="AH341" s="265" t="str">
        <f>MID(Tabelle2[[#This Row],[bnr full]],8,3)</f>
        <v>696</v>
      </c>
      <c r="AI341" s="264" t="str">
        <f>MID(Tabelle2[[#This Row],[bnr full]],11,3)</f>
        <v>201</v>
      </c>
      <c r="AJ341" s="252" t="str">
        <f>MID(Tabelle2[[#This Row],[bnr full]],11,3)</f>
        <v>201</v>
      </c>
      <c r="AK341" s="197" t="s">
        <v>798</v>
      </c>
      <c r="AL341" s="124" t="str">
        <f ca="1">Sprache!$A$111</f>
        <v>Комплект (Л + П)</v>
      </c>
      <c r="AM341" s="187" t="s">
        <v>25</v>
      </c>
      <c r="AN341" s="187" t="str">
        <f ca="1">Sprache!$A$128</f>
        <v>Пружина, оранжевая</v>
      </c>
      <c r="AO341" s="187" t="str">
        <f ca="1">Sprache!$A$146</f>
        <v>Адаптер под алюминиевые рамки к комплекту Kinvaro T-71</v>
      </c>
      <c r="AP341" s="225" t="s">
        <v>821</v>
      </c>
      <c r="AQ341" s="187">
        <f>Limits!$K$9</f>
        <v>200</v>
      </c>
      <c r="AR341" s="124">
        <v>1200</v>
      </c>
      <c r="AS341" s="187"/>
      <c r="AT341" s="124"/>
    </row>
    <row r="342" spans="1:55" hidden="1" x14ac:dyDescent="0.25">
      <c r="A342" s="12" t="str">
        <f ca="1">IF(F342+G342+H342+I342+J342+D342+E342=3,IF(Tabelle2[[#This Row],[Kappe Weiß]]=Limits!$R$29,1,""),"")</f>
        <v/>
      </c>
      <c r="B342" s="12" t="str">
        <f ca="1">IF(G342+H342+I342+J342+E342+F342=2,IF(Tabelle2[[#This Row],[Kappe Weiß]]=Limits!$R$29,1,""),"")</f>
        <v/>
      </c>
      <c r="C342" s="292">
        <v>0</v>
      </c>
      <c r="D342" s="171">
        <f>IF(Limits!$P$8=TRUE,1,0)</f>
        <v>0</v>
      </c>
      <c r="E342" s="172">
        <f>IF(Daten!$P342+Daten!$Q342+Daten!$S342=3,1,0)</f>
        <v>0</v>
      </c>
      <c r="F342" s="173">
        <f ca="1">IF(AND(Limits!$Q$21=TRUE,Daten!O342=1)=TRUE,1,0)</f>
        <v>1</v>
      </c>
      <c r="G342" s="174">
        <f ca="1">IF(AND(Limits!$Q$25=TRUE,Daten!N342=1)=TRUE,1,0)</f>
        <v>0</v>
      </c>
      <c r="H342" s="174">
        <f ca="1">IF(AND(Limits!$Q$24=TRUE,Daten!M342=1)=TRUE,1,0)</f>
        <v>0</v>
      </c>
      <c r="I342" s="174">
        <f ca="1">IF(AND(Limits!$Q$23=TRUE,Daten!L342=1)=TRUE,1,0)</f>
        <v>0</v>
      </c>
      <c r="J342" s="174">
        <f ca="1">IF(AND(Limits!$Q$22=TRUE,Daten!K342=1)=TRUE,1,0)</f>
        <v>0</v>
      </c>
      <c r="K342" s="188">
        <f ca="1">IF(Daten!$V342=13,1,0)</f>
        <v>0</v>
      </c>
      <c r="L342" s="189">
        <f ca="1">IF(Daten!$V342&lt;&gt;Daten!$W342,1,IF(Daten!$V342=14,1,0))</f>
        <v>0</v>
      </c>
      <c r="M342" s="189">
        <f ca="1">IF(Daten!$V342&lt;&gt;Daten!$W342,1,IF(Daten!$V342=16,1,0))</f>
        <v>0</v>
      </c>
      <c r="N342" s="189">
        <f ca="1">IF(Daten!$W342=17,1,0)</f>
        <v>0</v>
      </c>
      <c r="O342" s="190">
        <f ca="1">IF(Daten!$X342=Sprache!$A$70,1,0)</f>
        <v>1</v>
      </c>
      <c r="P342" s="198">
        <f>IF(AND(Daten!$AQ342&lt;=KINVARO!$AW$3,Daten!$AR342&gt;=KINVARO!$AW$3)=TRUE,1,0)</f>
        <v>1</v>
      </c>
      <c r="Q342" s="199">
        <f>IF(AND(Daten!$AA342&lt;=KINVARO!$AW$4,Daten!$AB342&gt;=KINVARO!$AW$4)=TRUE,1,0)</f>
        <v>0</v>
      </c>
      <c r="R342" s="199"/>
      <c r="S342" s="199">
        <f>IF(AND(Daten!$AD342&lt;=Limits!$I$70,Daten!$AE342&gt;=Limits!$I$70)=TRUE,1,0)</f>
        <v>0</v>
      </c>
      <c r="T342" s="200">
        <f ca="1">IF(Daten!$Y342=Sprache!$A$135,1,0)</f>
        <v>1</v>
      </c>
      <c r="U342" s="201" t="str">
        <f ca="1">Sprache!$A$66</f>
        <v>T-71 Поворотный подъемник</v>
      </c>
      <c r="V342" s="202" t="str">
        <f ca="1">Sprache!$A$74</f>
        <v>var</v>
      </c>
      <c r="W342" s="200" t="str">
        <f ca="1">Sprache!$A$74</f>
        <v>var</v>
      </c>
      <c r="X342" s="203" t="str">
        <f ca="1">Sprache!$A$70</f>
        <v>соединение с древесиной</v>
      </c>
      <c r="Y342" s="203" t="str">
        <f ca="1">Sprache!$A$135</f>
        <v>ja</v>
      </c>
      <c r="Z342" s="203" t="str">
        <f ca="1">Sprache!$A$79</f>
        <v>Створка</v>
      </c>
      <c r="AA342" s="203">
        <v>600</v>
      </c>
      <c r="AB342" s="201">
        <v>600</v>
      </c>
      <c r="AC342" s="203"/>
      <c r="AD342" s="204">
        <v>1.4</v>
      </c>
      <c r="AE342" s="205">
        <v>3.3</v>
      </c>
      <c r="AF342" s="266" t="str">
        <f>MID(Tabelle2[[#This Row],[bnr full]],1,4)</f>
        <v>F151</v>
      </c>
      <c r="AG342" s="267" t="str">
        <f>MID(Tabelle2[[#This Row],[bnr full]],5,3)</f>
        <v>147</v>
      </c>
      <c r="AH342" s="268" t="str">
        <f>MID(Tabelle2[[#This Row],[bnr full]],8,3)</f>
        <v>696</v>
      </c>
      <c r="AI342" s="267" t="str">
        <f>MID(Tabelle2[[#This Row],[bnr full]],11,3)</f>
        <v>201</v>
      </c>
      <c r="AJ342" s="253" t="str">
        <f>MID(Tabelle2[[#This Row],[bnr full]],11,3)</f>
        <v>201</v>
      </c>
      <c r="AK342" s="206" t="s">
        <v>798</v>
      </c>
      <c r="AL342" s="201" t="str">
        <f ca="1">Sprache!$A$111</f>
        <v>Комплект (Л + П)</v>
      </c>
      <c r="AM342" s="203" t="s">
        <v>25</v>
      </c>
      <c r="AN342" s="203" t="str">
        <f ca="1">Sprache!$A$127</f>
        <v>Пружина, белая</v>
      </c>
      <c r="AO342" s="203" t="s">
        <v>25</v>
      </c>
      <c r="AP342" s="203" t="s">
        <v>25</v>
      </c>
      <c r="AQ342" s="203">
        <f>Limits!$K$9</f>
        <v>200</v>
      </c>
      <c r="AR342" s="201">
        <v>1200</v>
      </c>
      <c r="AS342" s="187"/>
      <c r="AT342" s="124"/>
      <c r="AU342"/>
      <c r="AV342"/>
      <c r="AY342"/>
      <c r="AZ342"/>
      <c r="BA342"/>
      <c r="BB342"/>
      <c r="BC342"/>
    </row>
    <row r="343" spans="1:55" hidden="1" x14ac:dyDescent="0.25">
      <c r="A343" s="12" t="str">
        <f ca="1">IF(F343+G343+H343+I343+J343+D343+E343=3,IF(Tabelle2[[#This Row],[Kappe Weiß]]=Limits!$R$29,1,""),"")</f>
        <v/>
      </c>
      <c r="B343" s="12" t="str">
        <f ca="1">IF(G343+H343+I343+J343+E343+F343=2,IF(Tabelle2[[#This Row],[Kappe Weiß]]=Limits!$R$29,1,""),"")</f>
        <v/>
      </c>
      <c r="C343" s="291">
        <v>0</v>
      </c>
      <c r="D343" s="171">
        <f>IF(Limits!$P$8=TRUE,1,0)</f>
        <v>0</v>
      </c>
      <c r="E343" s="172">
        <f>IF(Daten!$P343+Daten!$Q343+Daten!$S343=3,1,0)</f>
        <v>0</v>
      </c>
      <c r="F343" s="173">
        <f ca="1">IF(AND(Limits!$Q$21=TRUE,Daten!O343=1)=TRUE,1,0)</f>
        <v>1</v>
      </c>
      <c r="G343" s="174">
        <f ca="1">IF(AND(Limits!$Q$25=TRUE,Daten!N343=1)=TRUE,1,0)</f>
        <v>0</v>
      </c>
      <c r="H343" s="174">
        <f ca="1">IF(AND(Limits!$Q$24=TRUE,Daten!M343=1)=TRUE,1,0)</f>
        <v>0</v>
      </c>
      <c r="I343" s="174">
        <f ca="1">IF(AND(Limits!$Q$23=TRUE,Daten!L343=1)=TRUE,1,0)</f>
        <v>0</v>
      </c>
      <c r="J343" s="174">
        <f ca="1">IF(AND(Limits!$Q$22=TRUE,Daten!K343=1)=TRUE,1,0)</f>
        <v>0</v>
      </c>
      <c r="K343" s="188">
        <f ca="1">IF(Daten!$V343=13,1,0)</f>
        <v>0</v>
      </c>
      <c r="L343" s="189">
        <f ca="1">IF(Daten!$V343&lt;&gt;Daten!$W343,1,IF(Daten!$V343=14,1,0))</f>
        <v>0</v>
      </c>
      <c r="M343" s="189">
        <f ca="1">IF(Daten!$V343&lt;&gt;Daten!$W343,1,IF(Daten!$V343=16,1,0))</f>
        <v>0</v>
      </c>
      <c r="N343" s="189">
        <f ca="1">IF(Daten!$W343=17,1,0)</f>
        <v>0</v>
      </c>
      <c r="O343" s="190">
        <f ca="1">IF(Daten!$X343=Sprache!$A$70,1,0)</f>
        <v>1</v>
      </c>
      <c r="P343" s="191">
        <f>IF(AND(Daten!$AQ343&lt;=KINVARO!$AW$3,Daten!$AR343&gt;=KINVARO!$AW$3)=TRUE,1,0)</f>
        <v>1</v>
      </c>
      <c r="Q343" s="192">
        <f>IF(AND(Daten!$AA343&lt;=KINVARO!$AW$4,Daten!$AB343&gt;=KINVARO!$AW$4)=TRUE,1,0)</f>
        <v>0</v>
      </c>
      <c r="R343" s="192"/>
      <c r="S343" s="192">
        <f>IF(AND(Daten!$AD343&lt;=Limits!$I$70,Daten!$AE343&gt;=Limits!$I$70)=TRUE,1,0)</f>
        <v>0</v>
      </c>
      <c r="T343" s="193">
        <f ca="1">IF(Daten!$Y343=Sprache!$A$135,1,0)</f>
        <v>1</v>
      </c>
      <c r="U343" s="124" t="str">
        <f ca="1">Sprache!$A$66</f>
        <v>T-71 Поворотный подъемник</v>
      </c>
      <c r="V343" s="194" t="str">
        <f ca="1">Sprache!$A$74</f>
        <v>var</v>
      </c>
      <c r="W343" s="193" t="str">
        <f ca="1">Sprache!$A$74</f>
        <v>var</v>
      </c>
      <c r="X343" s="187" t="str">
        <f ca="1">Sprache!$A$70</f>
        <v>соединение с древесиной</v>
      </c>
      <c r="Y343" s="187" t="str">
        <f ca="1">Sprache!$A$135</f>
        <v>ja</v>
      </c>
      <c r="Z343" s="187" t="str">
        <f ca="1">Sprache!$A$79</f>
        <v>Створка</v>
      </c>
      <c r="AA343" s="187">
        <v>600</v>
      </c>
      <c r="AB343" s="124">
        <v>600</v>
      </c>
      <c r="AC343" s="187"/>
      <c r="AD343" s="195">
        <v>1.4</v>
      </c>
      <c r="AE343" s="196">
        <v>4.2</v>
      </c>
      <c r="AF343" s="263" t="str">
        <f>MID(Tabelle2[[#This Row],[bnr full]],1,4)</f>
        <v>F151</v>
      </c>
      <c r="AG343" s="264" t="str">
        <f>MID(Tabelle2[[#This Row],[bnr full]],5,3)</f>
        <v>147</v>
      </c>
      <c r="AH343" s="265" t="str">
        <f>MID(Tabelle2[[#This Row],[bnr full]],8,3)</f>
        <v>696</v>
      </c>
      <c r="AI343" s="264" t="str">
        <f>MID(Tabelle2[[#This Row],[bnr full]],11,3)</f>
        <v>201</v>
      </c>
      <c r="AJ343" s="252" t="str">
        <f>MID(Tabelle2[[#This Row],[bnr full]],11,3)</f>
        <v>201</v>
      </c>
      <c r="AK343" s="197" t="s">
        <v>798</v>
      </c>
      <c r="AL343" s="124" t="str">
        <f ca="1">Sprache!$A$111</f>
        <v>Комплект (Л + П)</v>
      </c>
      <c r="AM343" s="187" t="s">
        <v>25</v>
      </c>
      <c r="AN343" s="187" t="str">
        <f ca="1">Sprache!$A$128</f>
        <v>Пружина, оранжевая</v>
      </c>
      <c r="AO343" s="187" t="s">
        <v>25</v>
      </c>
      <c r="AP343" s="187" t="s">
        <v>25</v>
      </c>
      <c r="AQ343" s="187">
        <f>Limits!$K$9</f>
        <v>200</v>
      </c>
      <c r="AR343" s="124">
        <v>1200</v>
      </c>
      <c r="AS343" s="187"/>
      <c r="AT343" s="124"/>
      <c r="AU343"/>
      <c r="AV343"/>
      <c r="AY343"/>
      <c r="AZ343"/>
      <c r="BA343"/>
      <c r="BB343"/>
      <c r="BC343"/>
    </row>
    <row r="344" spans="1:55" hidden="1" x14ac:dyDescent="0.25">
      <c r="A344" s="12" t="str">
        <f ca="1">IF(F344+G344+H344+I344+J344+D344+E344=3,IF(Tabelle2[[#This Row],[Kappe Weiß]]=Limits!$R$29,1,""),"")</f>
        <v/>
      </c>
      <c r="B344" s="12" t="str">
        <f ca="1">IF(G344+H344+I344+J344+E344+F344=2,IF(Tabelle2[[#This Row],[Kappe Weiß]]=Limits!$R$29,1,""),"")</f>
        <v/>
      </c>
      <c r="C344" s="291">
        <v>0</v>
      </c>
      <c r="D344" s="171">
        <f>IF(Limits!$P$8=TRUE,1,0)</f>
        <v>0</v>
      </c>
      <c r="E344" s="172">
        <f>IF(Daten!$P344+Daten!$Q344+Daten!$S344=3,1,0)</f>
        <v>0</v>
      </c>
      <c r="F344" s="173">
        <f ca="1">IF(AND(Limits!$Q$21=TRUE,Daten!O344=1)=TRUE,1,0)</f>
        <v>0</v>
      </c>
      <c r="G344" s="174">
        <f>IF(AND(Limits!$Q$25=TRUE,Daten!N344=1)=TRUE,1,0)</f>
        <v>0</v>
      </c>
      <c r="H344" s="174">
        <f>IF(AND(Limits!$Q$24=TRUE,Daten!M344=1)=TRUE,1,0)</f>
        <v>0</v>
      </c>
      <c r="I344" s="174">
        <f>IF(AND(Limits!$Q$23=TRUE,Daten!L344=1)=TRUE,1,0)</f>
        <v>0</v>
      </c>
      <c r="J344" s="174">
        <f>IF(AND(Limits!$Q$22=TRUE,Daten!K344=1)=TRUE,1,0)</f>
        <v>0</v>
      </c>
      <c r="K344" s="188">
        <f>IF(Daten!$V344=13,1,0)</f>
        <v>1</v>
      </c>
      <c r="L344" s="189">
        <f>IF(Daten!$V344&lt;&gt;Daten!$W344,1,IF(Daten!$V344=14,1,0))</f>
        <v>1</v>
      </c>
      <c r="M344" s="189">
        <f>IF(Daten!$V344&lt;&gt;Daten!$W344,1,IF(Daten!$V344=16,1,0))</f>
        <v>1</v>
      </c>
      <c r="N344" s="189">
        <f>IF(Daten!$W344=17,1,0)</f>
        <v>1</v>
      </c>
      <c r="O344" s="190">
        <f ca="1">IF(Daten!$X344=Sprache!$A$70,1,0)</f>
        <v>0</v>
      </c>
      <c r="P344" s="191">
        <f>IF(AND(Daten!$AQ344&lt;=KINVARO!$AW$3,Daten!$AR344&gt;=KINVARO!$AW$3)=TRUE,1,0)</f>
        <v>1</v>
      </c>
      <c r="Q344" s="192">
        <f>IF(AND(Daten!$AA344&lt;=KINVARO!$AW$4,Daten!$AB344&gt;=KINVARO!$AW$4)=TRUE,1,0)</f>
        <v>0</v>
      </c>
      <c r="R344" s="192"/>
      <c r="S344" s="192">
        <f>IF(AND(Daten!$AD344&lt;=Limits!$I$70,Daten!$AE344&gt;=Limits!$I$70)=TRUE,1,0)</f>
        <v>0</v>
      </c>
      <c r="T344" s="193">
        <f ca="1">IF(Daten!$Y344=Sprache!$A$135,1,0)</f>
        <v>1</v>
      </c>
      <c r="U344" s="124" t="str">
        <f ca="1">Sprache!$A$66</f>
        <v>T-71 Поворотный подъемник</v>
      </c>
      <c r="V344" s="194">
        <v>13</v>
      </c>
      <c r="W344" s="193">
        <v>17</v>
      </c>
      <c r="X344" s="187" t="str">
        <f ca="1">Sprache!$A$142</f>
        <v>Alu (Rahmen 19mm)</v>
      </c>
      <c r="Y344" s="187" t="str">
        <f ca="1">Sprache!$A$135</f>
        <v>ja</v>
      </c>
      <c r="Z344" s="187" t="str">
        <f ca="1">Sprache!$A$79</f>
        <v>Створка</v>
      </c>
      <c r="AA344" s="187">
        <v>600</v>
      </c>
      <c r="AB344" s="124">
        <v>600</v>
      </c>
      <c r="AC344" s="187"/>
      <c r="AD344" s="195">
        <v>1.4</v>
      </c>
      <c r="AE344" s="196">
        <v>3.3</v>
      </c>
      <c r="AF344" s="263" t="str">
        <f>MID(Tabelle2[[#This Row],[bnr full]],1,4)</f>
        <v>F151</v>
      </c>
      <c r="AG344" s="264" t="str">
        <f>MID(Tabelle2[[#This Row],[bnr full]],5,3)</f>
        <v>147</v>
      </c>
      <c r="AH344" s="265" t="str">
        <f>MID(Tabelle2[[#This Row],[bnr full]],8,3)</f>
        <v>696</v>
      </c>
      <c r="AI344" s="264" t="str">
        <f>MID(Tabelle2[[#This Row],[bnr full]],11,3)</f>
        <v>201</v>
      </c>
      <c r="AJ344" s="252" t="str">
        <f>MID(Tabelle2[[#This Row],[bnr full]],11,3)</f>
        <v>201</v>
      </c>
      <c r="AK344" s="197" t="s">
        <v>798</v>
      </c>
      <c r="AL344" s="124" t="str">
        <f ca="1">Sprache!$A$111</f>
        <v>Комплект (Л + П)</v>
      </c>
      <c r="AM344" s="187" t="s">
        <v>25</v>
      </c>
      <c r="AN344" s="187" t="str">
        <f ca="1">Sprache!$A$127</f>
        <v>Пружина, белая</v>
      </c>
      <c r="AO344" s="187" t="str">
        <f ca="1">Sprache!$A$146</f>
        <v>Адаптер под алюминиевые рамки к комплекту Kinvaro T-71</v>
      </c>
      <c r="AP344" s="225" t="s">
        <v>821</v>
      </c>
      <c r="AQ344" s="187">
        <f>Limits!$K$9</f>
        <v>200</v>
      </c>
      <c r="AR344" s="124">
        <v>1200</v>
      </c>
      <c r="AS344" s="187"/>
      <c r="AT344" s="124"/>
      <c r="AU344"/>
      <c r="AV344"/>
      <c r="AY344"/>
      <c r="AZ344"/>
      <c r="BA344"/>
      <c r="BB344"/>
      <c r="BC344"/>
    </row>
    <row r="345" spans="1:55" s="5" customFormat="1" hidden="1" x14ac:dyDescent="0.25">
      <c r="A345" s="12" t="str">
        <f ca="1">IF(F345+G345+H345+I345+J345+D345+E345=3,IF(Tabelle2[[#This Row],[Kappe Weiß]]=Limits!$R$29,1,""),"")</f>
        <v/>
      </c>
      <c r="B345" s="12" t="str">
        <f ca="1">IF(G345+H345+I345+J345+E345+F345=2,IF(Tabelle2[[#This Row],[Kappe Weiß]]=Limits!$R$29,1,""),"")</f>
        <v/>
      </c>
      <c r="C345" s="291">
        <v>0</v>
      </c>
      <c r="D345" s="207">
        <f>IF(Limits!$P$8=TRUE,1,0)</f>
        <v>0</v>
      </c>
      <c r="E345" s="172">
        <f>IF(Daten!$P345+Daten!$Q345+Daten!$S345=3,1,0)</f>
        <v>0</v>
      </c>
      <c r="F345" s="173">
        <f ca="1">IF(AND(Limits!$Q$21=TRUE,Daten!O345=1)=TRUE,1,0)</f>
        <v>0</v>
      </c>
      <c r="G345" s="174">
        <f>IF(AND(Limits!$Q$25=TRUE,Daten!N345=1)=TRUE,1,0)</f>
        <v>0</v>
      </c>
      <c r="H345" s="174">
        <f>IF(AND(Limits!$Q$24=TRUE,Daten!M345=1)=TRUE,1,0)</f>
        <v>0</v>
      </c>
      <c r="I345" s="174">
        <f>IF(AND(Limits!$Q$23=TRUE,Daten!L345=1)=TRUE,1,0)</f>
        <v>0</v>
      </c>
      <c r="J345" s="174">
        <f>IF(AND(Limits!$Q$22=TRUE,Daten!K345=1)=TRUE,1,0)</f>
        <v>0</v>
      </c>
      <c r="K345" s="188">
        <f>IF(Daten!$V345=13,1,0)</f>
        <v>1</v>
      </c>
      <c r="L345" s="189">
        <f>IF(Daten!$V345&lt;&gt;Daten!$W345,1,IF(Daten!$V345=14,1,0))</f>
        <v>1</v>
      </c>
      <c r="M345" s="189">
        <f>IF(Daten!$V345&lt;&gt;Daten!$W345,1,IF(Daten!$V345=16,1,0))</f>
        <v>1</v>
      </c>
      <c r="N345" s="189">
        <f>IF(Daten!$W345=17,1,0)</f>
        <v>1</v>
      </c>
      <c r="O345" s="190">
        <f ca="1">IF(Daten!$X345=Sprache!$A$70,1,0)</f>
        <v>0</v>
      </c>
      <c r="P345" s="191">
        <f>IF(AND(Daten!$AQ345&lt;=KINVARO!$AW$3,Daten!$AR345&gt;=KINVARO!$AW$3)=TRUE,1,0)</f>
        <v>1</v>
      </c>
      <c r="Q345" s="191">
        <f>IF(AND(Daten!$AA345&lt;=KINVARO!$AW$4,Daten!$AB345&gt;=KINVARO!$AW$4)=TRUE,1,0)</f>
        <v>0</v>
      </c>
      <c r="R345" s="191"/>
      <c r="S345" s="191">
        <f>IF(AND(Daten!$AD345&lt;=Limits!$I$70,Daten!$AE345&gt;=Limits!$I$70)=TRUE,1,0)</f>
        <v>0</v>
      </c>
      <c r="T345" s="194">
        <f ca="1">IF(Daten!$Y345=Sprache!$A$135,1,0)</f>
        <v>1</v>
      </c>
      <c r="U345" s="187" t="str">
        <f ca="1">Sprache!$A$66</f>
        <v>T-71 Поворотный подъемник</v>
      </c>
      <c r="V345" s="194">
        <v>13</v>
      </c>
      <c r="W345" s="193">
        <v>17</v>
      </c>
      <c r="X345" s="187" t="str">
        <f ca="1">Sprache!$A$142</f>
        <v>Alu (Rahmen 19mm)</v>
      </c>
      <c r="Y345" s="187" t="str">
        <f ca="1">Sprache!$A$135</f>
        <v>ja</v>
      </c>
      <c r="Z345" s="187" t="str">
        <f ca="1">Sprache!$A$79</f>
        <v>Створка</v>
      </c>
      <c r="AA345" s="187">
        <v>600</v>
      </c>
      <c r="AB345" s="124">
        <v>600</v>
      </c>
      <c r="AC345" s="187"/>
      <c r="AD345" s="195">
        <v>1.4</v>
      </c>
      <c r="AE345" s="196">
        <v>4.2</v>
      </c>
      <c r="AF345" s="263" t="str">
        <f>MID(Tabelle2[[#This Row],[bnr full]],1,4)</f>
        <v>F151</v>
      </c>
      <c r="AG345" s="264" t="str">
        <f>MID(Tabelle2[[#This Row],[bnr full]],5,3)</f>
        <v>147</v>
      </c>
      <c r="AH345" s="265" t="str">
        <f>MID(Tabelle2[[#This Row],[bnr full]],8,3)</f>
        <v>696</v>
      </c>
      <c r="AI345" s="264" t="str">
        <f>MID(Tabelle2[[#This Row],[bnr full]],11,3)</f>
        <v>201</v>
      </c>
      <c r="AJ345" s="252" t="str">
        <f>MID(Tabelle2[[#This Row],[bnr full]],11,3)</f>
        <v>201</v>
      </c>
      <c r="AK345" s="197" t="s">
        <v>798</v>
      </c>
      <c r="AL345" s="124" t="str">
        <f ca="1">Sprache!$A$111</f>
        <v>Комплект (Л + П)</v>
      </c>
      <c r="AM345" s="187" t="s">
        <v>25</v>
      </c>
      <c r="AN345" s="187" t="str">
        <f ca="1">Sprache!$A$128</f>
        <v>Пружина, оранжевая</v>
      </c>
      <c r="AO345" s="187" t="str">
        <f ca="1">Sprache!$A$146</f>
        <v>Адаптер под алюминиевые рамки к комплекту Kinvaro T-71</v>
      </c>
      <c r="AP345" s="225" t="s">
        <v>821</v>
      </c>
      <c r="AQ345" s="187">
        <f>Limits!$K$9</f>
        <v>200</v>
      </c>
      <c r="AR345" s="124">
        <v>1200</v>
      </c>
      <c r="AS345" s="187"/>
      <c r="AT345" s="124"/>
    </row>
    <row r="346" spans="1:55" ht="15.75" hidden="1" thickTop="1" x14ac:dyDescent="0.25">
      <c r="A346" s="12" t="str">
        <f ca="1">IF(F346+G346+H346+I346+J346+D346+E346=3,IF(Tabelle2[[#This Row],[Kappe Weiß]]=Limits!$R$29,1,""),"")</f>
        <v/>
      </c>
      <c r="B346" s="12" t="str">
        <f ca="1">IF(G346+H346+I346+J346+E346+F346=2,IF(Tabelle2[[#This Row],[Kappe Weiß]]=Limits!$R$29,1,""),"")</f>
        <v/>
      </c>
      <c r="C346" s="293">
        <v>1</v>
      </c>
      <c r="D346" s="171">
        <f>IF(Limits!$P$8=TRUE,1,0)</f>
        <v>0</v>
      </c>
      <c r="E346" s="172">
        <f>IF(Daten!$P346+Daten!$Q346+Daten!$S346=3,1,0)</f>
        <v>0</v>
      </c>
      <c r="F346" s="173">
        <f ca="1">IF(AND(Limits!$Q$21=TRUE,Daten!O346=1)=TRUE,1,0)</f>
        <v>1</v>
      </c>
      <c r="G346" s="174">
        <f ca="1">IF(AND(Limits!$Q$25=TRUE,Daten!N346=1)=TRUE,1,0)</f>
        <v>0</v>
      </c>
      <c r="H346" s="174">
        <f ca="1">IF(AND(Limits!$Q$24=TRUE,Daten!M346=1)=TRUE,1,0)</f>
        <v>0</v>
      </c>
      <c r="I346" s="174">
        <f ca="1">IF(AND(Limits!$Q$23=TRUE,Daten!L346=1)=TRUE,1,0)</f>
        <v>0</v>
      </c>
      <c r="J346" s="174">
        <f ca="1">IF(AND(Limits!$Q$22=TRUE,Daten!K346=1)=TRUE,1,0)</f>
        <v>0</v>
      </c>
      <c r="K346" s="188">
        <f ca="1">IF(Daten!$V346=13,1,0)</f>
        <v>0</v>
      </c>
      <c r="L346" s="189">
        <f ca="1">IF(Daten!$V346&lt;&gt;Daten!$W346,1,IF(Daten!$V346=14,1,0))</f>
        <v>0</v>
      </c>
      <c r="M346" s="189">
        <f ca="1">IF(Daten!$V346&lt;&gt;Daten!$W346,1,IF(Daten!$V346=16,1,0))</f>
        <v>0</v>
      </c>
      <c r="N346" s="189">
        <f ca="1">IF(Daten!$W346=17,1,0)</f>
        <v>0</v>
      </c>
      <c r="O346" s="190">
        <f ca="1">IF(Daten!$X346=Sprache!$A$70,1,0)</f>
        <v>1</v>
      </c>
      <c r="P346" s="208">
        <f>IF(AND(Daten!$AQ346&lt;=KINVARO!$AW$3,Daten!$AR346&gt;=KINVARO!$AW$3)=TRUE,1,0)</f>
        <v>1</v>
      </c>
      <c r="Q346" s="208">
        <f>IF(AND(Daten!$AA346&lt;=KINVARO!$AW$4,Daten!$AB346&gt;=KINVARO!$AW$4)=TRUE,1,0)</f>
        <v>0</v>
      </c>
      <c r="R346" s="208"/>
      <c r="S346" s="208">
        <f>IF(AND(Daten!$AD346&lt;=Limits!$I$70,Daten!$AE346&gt;=Limits!$I$70)=TRUE,1,0)</f>
        <v>0</v>
      </c>
      <c r="T346" s="212">
        <f ca="1">IF(Daten!$Y346=Sprache!$A$135,1,0)</f>
        <v>1</v>
      </c>
      <c r="U346" s="213" t="str">
        <f ca="1">Sprache!$A$66</f>
        <v>T-71 Поворотный подъемник</v>
      </c>
      <c r="V346" s="212" t="str">
        <f ca="1">Sprache!$A$74</f>
        <v>var</v>
      </c>
      <c r="W346" s="210" t="str">
        <f ca="1">Sprache!$A$74</f>
        <v>var</v>
      </c>
      <c r="X346" s="213" t="str">
        <f ca="1">Sprache!$A$70</f>
        <v>соединение с древесиной</v>
      </c>
      <c r="Y346" s="203" t="str">
        <f ca="1">Sprache!$A$135</f>
        <v>ja</v>
      </c>
      <c r="Z346" s="213" t="str">
        <f ca="1">Sprache!$A$79</f>
        <v>Створка</v>
      </c>
      <c r="AA346" s="213">
        <v>300</v>
      </c>
      <c r="AB346" s="211">
        <v>349</v>
      </c>
      <c r="AC346" s="213"/>
      <c r="AD346" s="214">
        <v>2.1</v>
      </c>
      <c r="AE346" s="215">
        <v>7.4</v>
      </c>
      <c r="AF346" s="269" t="str">
        <f>MID(Tabelle2[[#This Row],[bnr full]],1,4)</f>
        <v>F151</v>
      </c>
      <c r="AG346" s="270" t="str">
        <f>MID(Tabelle2[[#This Row],[bnr full]],5,3)</f>
        <v>147</v>
      </c>
      <c r="AH346" s="271" t="str">
        <f>MID(Tabelle2[[#This Row],[bnr full]],8,3)</f>
        <v>811</v>
      </c>
      <c r="AI346" s="270" t="str">
        <f>MID(Tabelle2[[#This Row],[bnr full]],11,3)</f>
        <v>201</v>
      </c>
      <c r="AJ346" s="254" t="str">
        <f>MID(Tabelle2[[#This Row],[bnr full]],11,3)</f>
        <v>201</v>
      </c>
      <c r="AK346" s="216" t="s">
        <v>1661</v>
      </c>
      <c r="AL346" s="211" t="str">
        <f ca="1">Sprache!$A$111</f>
        <v>Комплект (Л + П)</v>
      </c>
      <c r="AM346" s="213" t="s">
        <v>25</v>
      </c>
      <c r="AN346" s="213" t="str">
        <f ca="1">Sprache!$A$127</f>
        <v>Пружина, белая</v>
      </c>
      <c r="AO346" s="187" t="s">
        <v>25</v>
      </c>
      <c r="AP346" s="187" t="s">
        <v>25</v>
      </c>
      <c r="AQ346" s="213">
        <f>Limits!$K$9</f>
        <v>200</v>
      </c>
      <c r="AR346" s="211">
        <v>1200</v>
      </c>
      <c r="AS346" s="187"/>
      <c r="AT346" s="124"/>
      <c r="AU346"/>
      <c r="AV346"/>
      <c r="AY346"/>
      <c r="AZ346"/>
      <c r="BA346"/>
      <c r="BB346"/>
      <c r="BC346"/>
    </row>
    <row r="347" spans="1:55" hidden="1" x14ac:dyDescent="0.25">
      <c r="A347" s="12" t="str">
        <f ca="1">IF(F347+G347+H347+I347+J347+D347+E347=3,IF(Tabelle2[[#This Row],[Kappe Weiß]]=Limits!$R$29,1,""),"")</f>
        <v/>
      </c>
      <c r="B347" s="12" t="str">
        <f ca="1">IF(G347+H347+I347+J347+E347+F347=2,IF(Tabelle2[[#This Row],[Kappe Weiß]]=Limits!$R$29,1,""),"")</f>
        <v/>
      </c>
      <c r="C347" s="291">
        <v>1</v>
      </c>
      <c r="D347" s="171">
        <f>IF(Limits!$P$8=TRUE,1,0)</f>
        <v>0</v>
      </c>
      <c r="E347" s="172">
        <f>IF(Daten!$P347+Daten!$Q347+Daten!$S347=3,1,0)</f>
        <v>0</v>
      </c>
      <c r="F347" s="173">
        <f ca="1">IF(AND(Limits!$Q$21=TRUE,Daten!O347=1)=TRUE,1,0)</f>
        <v>1</v>
      </c>
      <c r="G347" s="174">
        <f ca="1">IF(AND(Limits!$Q$25=TRUE,Daten!N347=1)=TRUE,1,0)</f>
        <v>0</v>
      </c>
      <c r="H347" s="174">
        <f ca="1">IF(AND(Limits!$Q$24=TRUE,Daten!M347=1)=TRUE,1,0)</f>
        <v>0</v>
      </c>
      <c r="I347" s="174">
        <f ca="1">IF(AND(Limits!$Q$23=TRUE,Daten!L347=1)=TRUE,1,0)</f>
        <v>0</v>
      </c>
      <c r="J347" s="174">
        <f ca="1">IF(AND(Limits!$Q$22=TRUE,Daten!K347=1)=TRUE,1,0)</f>
        <v>0</v>
      </c>
      <c r="K347" s="188">
        <f ca="1">IF(Daten!$V347=13,1,0)</f>
        <v>0</v>
      </c>
      <c r="L347" s="189">
        <f ca="1">IF(Daten!$V347&lt;&gt;Daten!$W347,1,IF(Daten!$V347=14,1,0))</f>
        <v>0</v>
      </c>
      <c r="M347" s="189">
        <f ca="1">IF(Daten!$V347&lt;&gt;Daten!$W347,1,IF(Daten!$V347=16,1,0))</f>
        <v>0</v>
      </c>
      <c r="N347" s="189">
        <f ca="1">IF(Daten!$W347=17,1,0)</f>
        <v>0</v>
      </c>
      <c r="O347" s="190">
        <f ca="1">IF(Daten!$X347=Sprache!$A$70,1,0)</f>
        <v>1</v>
      </c>
      <c r="P347" s="191">
        <f>IF(AND(Daten!$AQ347&lt;=KINVARO!$AW$3,Daten!$AR347&gt;=KINVARO!$AW$3)=TRUE,1,0)</f>
        <v>1</v>
      </c>
      <c r="Q347" s="191">
        <f>IF(AND(Daten!$AA347&lt;=KINVARO!$AW$4,Daten!$AB347&gt;=KINVARO!$AW$4)=TRUE,1,0)</f>
        <v>0</v>
      </c>
      <c r="R347" s="191"/>
      <c r="S347" s="191">
        <f>IF(AND(Daten!$AD347&lt;=Limits!$I$70,Daten!$AE347&gt;=Limits!$I$70)=TRUE,1,0)</f>
        <v>0</v>
      </c>
      <c r="T347" s="194">
        <f ca="1">IF(Daten!$Y347=Sprache!$A$135,1,0)</f>
        <v>1</v>
      </c>
      <c r="U347" s="187" t="str">
        <f ca="1">Sprache!$A$66</f>
        <v>T-71 Поворотный подъемник</v>
      </c>
      <c r="V347" s="194" t="str">
        <f ca="1">Sprache!$A$74</f>
        <v>var</v>
      </c>
      <c r="W347" s="193" t="str">
        <f ca="1">Sprache!$A$74</f>
        <v>var</v>
      </c>
      <c r="X347" s="187" t="str">
        <f ca="1">Sprache!$A$70</f>
        <v>соединение с древесиной</v>
      </c>
      <c r="Y347" s="187" t="str">
        <f ca="1">Sprache!$A$135</f>
        <v>ja</v>
      </c>
      <c r="Z347" s="187" t="str">
        <f ca="1">Sprache!$A$79</f>
        <v>Створка</v>
      </c>
      <c r="AA347" s="187">
        <v>300</v>
      </c>
      <c r="AB347" s="124">
        <v>349</v>
      </c>
      <c r="AC347" s="187"/>
      <c r="AD347" s="195">
        <v>2.5</v>
      </c>
      <c r="AE347" s="196">
        <v>8.5</v>
      </c>
      <c r="AF347" s="263" t="str">
        <f>MID(Tabelle2[[#This Row],[bnr full]],1,4)</f>
        <v>F151</v>
      </c>
      <c r="AG347" s="264" t="str">
        <f>MID(Tabelle2[[#This Row],[bnr full]],5,3)</f>
        <v>147</v>
      </c>
      <c r="AH347" s="265" t="str">
        <f>MID(Tabelle2[[#This Row],[bnr full]],8,3)</f>
        <v>811</v>
      </c>
      <c r="AI347" s="264" t="str">
        <f>MID(Tabelle2[[#This Row],[bnr full]],11,3)</f>
        <v>201</v>
      </c>
      <c r="AJ347" s="252" t="str">
        <f>MID(Tabelle2[[#This Row],[bnr full]],11,3)</f>
        <v>201</v>
      </c>
      <c r="AK347" s="197" t="s">
        <v>1661</v>
      </c>
      <c r="AL347" s="124" t="str">
        <f ca="1">Sprache!$A$111</f>
        <v>Комплект (Л + П)</v>
      </c>
      <c r="AM347" s="187" t="s">
        <v>25</v>
      </c>
      <c r="AN347" s="187" t="str">
        <f ca="1">Sprache!$A$128</f>
        <v>Пружина, оранжевая</v>
      </c>
      <c r="AO347" s="187" t="s">
        <v>25</v>
      </c>
      <c r="AP347" s="187" t="s">
        <v>25</v>
      </c>
      <c r="AQ347" s="187">
        <f>Limits!$K$9</f>
        <v>200</v>
      </c>
      <c r="AR347" s="124">
        <v>1200</v>
      </c>
      <c r="AS347" s="187"/>
      <c r="AT347" s="124"/>
      <c r="AU347"/>
      <c r="AV347"/>
      <c r="AY347"/>
      <c r="AZ347"/>
      <c r="BA347"/>
      <c r="BB347"/>
      <c r="BC347"/>
    </row>
    <row r="348" spans="1:55" hidden="1" x14ac:dyDescent="0.25">
      <c r="A348" s="12" t="str">
        <f ca="1">IF(F348+G348+H348+I348+J348+D348+E348=3,IF(Tabelle2[[#This Row],[Kappe Weiß]]=Limits!$R$29,1,""),"")</f>
        <v/>
      </c>
      <c r="B348" s="12" t="str">
        <f ca="1">IF(G348+H348+I348+J348+E348+F348=2,IF(Tabelle2[[#This Row],[Kappe Weiß]]=Limits!$R$29,1,""),"")</f>
        <v/>
      </c>
      <c r="C348" s="291">
        <v>1</v>
      </c>
      <c r="D348" s="171">
        <f>IF(Limits!$P$8=TRUE,1,0)</f>
        <v>0</v>
      </c>
      <c r="E348" s="172">
        <f>IF(Daten!$P348+Daten!$Q348+Daten!$S348=3,1,0)</f>
        <v>0</v>
      </c>
      <c r="F348" s="173">
        <f ca="1">IF(AND(Limits!$Q$21=TRUE,Daten!O348=1)=TRUE,1,0)</f>
        <v>0</v>
      </c>
      <c r="G348" s="174">
        <f>IF(AND(Limits!$Q$25=TRUE,Daten!N348=1)=TRUE,1,0)</f>
        <v>0</v>
      </c>
      <c r="H348" s="174">
        <f>IF(AND(Limits!$Q$24=TRUE,Daten!M348=1)=TRUE,1,0)</f>
        <v>0</v>
      </c>
      <c r="I348" s="174">
        <f>IF(AND(Limits!$Q$23=TRUE,Daten!L348=1)=TRUE,1,0)</f>
        <v>0</v>
      </c>
      <c r="J348" s="174">
        <f>IF(AND(Limits!$Q$22=TRUE,Daten!K348=1)=TRUE,1,0)</f>
        <v>0</v>
      </c>
      <c r="K348" s="188">
        <f>IF(Daten!$V348=13,1,0)</f>
        <v>1</v>
      </c>
      <c r="L348" s="189">
        <f>IF(Daten!$V348&lt;&gt;Daten!$W348,1,IF(Daten!$V348=14,1,0))</f>
        <v>1</v>
      </c>
      <c r="M348" s="189">
        <f>IF(Daten!$V348&lt;&gt;Daten!$W348,1,IF(Daten!$V348=16,1,0))</f>
        <v>1</v>
      </c>
      <c r="N348" s="189">
        <f>IF(Daten!$W348=17,1,0)</f>
        <v>1</v>
      </c>
      <c r="O348" s="190">
        <f ca="1">IF(Daten!$X348=Sprache!$A$70,1,0)</f>
        <v>0</v>
      </c>
      <c r="P348" s="191">
        <f>IF(AND(Daten!$AQ348&lt;=KINVARO!$AW$3,Daten!$AR348&gt;=KINVARO!$AW$3)=TRUE,1,0)</f>
        <v>1</v>
      </c>
      <c r="Q348" s="191">
        <f>IF(AND(Daten!$AA348&lt;=KINVARO!$AW$4,Daten!$AB348&gt;=KINVARO!$AW$4)=TRUE,1,0)</f>
        <v>0</v>
      </c>
      <c r="R348" s="191"/>
      <c r="S348" s="191">
        <f>IF(AND(Daten!$AD348&lt;=Limits!$I$70,Daten!$AE348&gt;=Limits!$I$70)=TRUE,1,0)</f>
        <v>0</v>
      </c>
      <c r="T348" s="194">
        <f ca="1">IF(Daten!$Y348=Sprache!$A$135,1,0)</f>
        <v>1</v>
      </c>
      <c r="U348" s="187" t="str">
        <f ca="1">Sprache!$A$66</f>
        <v>T-71 Поворотный подъемник</v>
      </c>
      <c r="V348" s="194">
        <v>13</v>
      </c>
      <c r="W348" s="193">
        <v>17</v>
      </c>
      <c r="X348" s="187" t="str">
        <f ca="1">Sprache!$A$142</f>
        <v>Alu (Rahmen 19mm)</v>
      </c>
      <c r="Y348" s="187" t="str">
        <f ca="1">Sprache!$A$135</f>
        <v>ja</v>
      </c>
      <c r="Z348" s="187" t="str">
        <f ca="1">Sprache!$A$79</f>
        <v>Створка</v>
      </c>
      <c r="AA348" s="187">
        <v>300</v>
      </c>
      <c r="AB348" s="124">
        <v>349</v>
      </c>
      <c r="AC348" s="187"/>
      <c r="AD348" s="195">
        <v>2.1</v>
      </c>
      <c r="AE348" s="196">
        <v>7.4</v>
      </c>
      <c r="AF348" s="263" t="str">
        <f>MID(Tabelle2[[#This Row],[bnr full]],1,4)</f>
        <v>F151</v>
      </c>
      <c r="AG348" s="264" t="str">
        <f>MID(Tabelle2[[#This Row],[bnr full]],5,3)</f>
        <v>147</v>
      </c>
      <c r="AH348" s="265" t="str">
        <f>MID(Tabelle2[[#This Row],[bnr full]],8,3)</f>
        <v>811</v>
      </c>
      <c r="AI348" s="264" t="str">
        <f>MID(Tabelle2[[#This Row],[bnr full]],11,3)</f>
        <v>201</v>
      </c>
      <c r="AJ348" s="252" t="str">
        <f>MID(Tabelle2[[#This Row],[bnr full]],11,3)</f>
        <v>201</v>
      </c>
      <c r="AK348" s="197" t="s">
        <v>1661</v>
      </c>
      <c r="AL348" s="124" t="str">
        <f ca="1">Sprache!$A$111</f>
        <v>Комплект (Л + П)</v>
      </c>
      <c r="AM348" s="187" t="s">
        <v>25</v>
      </c>
      <c r="AN348" s="187" t="str">
        <f ca="1">Sprache!$A$127</f>
        <v>Пружина, белая</v>
      </c>
      <c r="AO348" s="187" t="str">
        <f ca="1">Sprache!$A$146</f>
        <v>Адаптер под алюминиевые рамки к комплекту Kinvaro T-71</v>
      </c>
      <c r="AP348" s="187" t="s">
        <v>820</v>
      </c>
      <c r="AQ348" s="187">
        <f>Limits!$K$9</f>
        <v>200</v>
      </c>
      <c r="AR348" s="124">
        <v>1200</v>
      </c>
      <c r="AS348" s="187"/>
      <c r="AT348" s="124"/>
      <c r="AU348"/>
      <c r="AV348"/>
      <c r="AY348"/>
      <c r="AZ348"/>
      <c r="BA348"/>
      <c r="BB348"/>
      <c r="BC348"/>
    </row>
    <row r="349" spans="1:55" s="5" customFormat="1" hidden="1" x14ac:dyDescent="0.25">
      <c r="A349" s="12" t="str">
        <f ca="1">IF(F349+G349+H349+I349+J349+D349+E349=3,IF(Tabelle2[[#This Row],[Kappe Weiß]]=Limits!$R$29,1,""),"")</f>
        <v/>
      </c>
      <c r="B349" s="12" t="str">
        <f ca="1">IF(G349+H349+I349+J349+E349+F349=2,IF(Tabelle2[[#This Row],[Kappe Weiß]]=Limits!$R$29,1,""),"")</f>
        <v/>
      </c>
      <c r="C349" s="291">
        <v>1</v>
      </c>
      <c r="D349" s="171">
        <f>IF(Limits!$P$8=TRUE,1,0)</f>
        <v>0</v>
      </c>
      <c r="E349" s="172">
        <f>IF(Daten!$P349+Daten!$Q349+Daten!$S349=3,1,0)</f>
        <v>0</v>
      </c>
      <c r="F349" s="173">
        <f ca="1">IF(AND(Limits!$Q$21=TRUE,Daten!O349=1)=TRUE,1,0)</f>
        <v>0</v>
      </c>
      <c r="G349" s="174">
        <f>IF(AND(Limits!$Q$25=TRUE,Daten!N349=1)=TRUE,1,0)</f>
        <v>0</v>
      </c>
      <c r="H349" s="174">
        <f>IF(AND(Limits!$Q$24=TRUE,Daten!M349=1)=TRUE,1,0)</f>
        <v>0</v>
      </c>
      <c r="I349" s="174">
        <f>IF(AND(Limits!$Q$23=TRUE,Daten!L349=1)=TRUE,1,0)</f>
        <v>0</v>
      </c>
      <c r="J349" s="174">
        <f>IF(AND(Limits!$Q$22=TRUE,Daten!K349=1)=TRUE,1,0)</f>
        <v>0</v>
      </c>
      <c r="K349" s="188">
        <f>IF(Daten!$V349=13,1,0)</f>
        <v>1</v>
      </c>
      <c r="L349" s="189">
        <f>IF(Daten!$V349&lt;&gt;Daten!$W349,1,IF(Daten!$V349=14,1,0))</f>
        <v>1</v>
      </c>
      <c r="M349" s="189">
        <f>IF(Daten!$V349&lt;&gt;Daten!$W349,1,IF(Daten!$V349=16,1,0))</f>
        <v>1</v>
      </c>
      <c r="N349" s="189">
        <f>IF(Daten!$W349=17,1,0)</f>
        <v>1</v>
      </c>
      <c r="O349" s="190">
        <f ca="1">IF(Daten!$X349=Sprache!$A$70,1,0)</f>
        <v>0</v>
      </c>
      <c r="P349" s="191">
        <f>IF(AND(Daten!$AQ349&lt;=KINVARO!$AW$3,Daten!$AR349&gt;=KINVARO!$AW$3)=TRUE,1,0)</f>
        <v>1</v>
      </c>
      <c r="Q349" s="191">
        <f>IF(AND(Daten!$AA349&lt;=KINVARO!$AW$4,Daten!$AB349&gt;=KINVARO!$AW$4)=TRUE,1,0)</f>
        <v>0</v>
      </c>
      <c r="R349" s="191"/>
      <c r="S349" s="191">
        <f>IF(AND(Daten!$AD349&lt;=Limits!$I$70,Daten!$AE349&gt;=Limits!$I$70)=TRUE,1,0)</f>
        <v>0</v>
      </c>
      <c r="T349" s="194">
        <f ca="1">IF(Daten!$Y349=Sprache!$A$135,1,0)</f>
        <v>1</v>
      </c>
      <c r="U349" s="187" t="str">
        <f ca="1">Sprache!$A$66</f>
        <v>T-71 Поворотный подъемник</v>
      </c>
      <c r="V349" s="194">
        <v>13</v>
      </c>
      <c r="W349" s="193">
        <v>17</v>
      </c>
      <c r="X349" s="187" t="str">
        <f ca="1">Sprache!$A$142</f>
        <v>Alu (Rahmen 19mm)</v>
      </c>
      <c r="Y349" s="187" t="str">
        <f ca="1">Sprache!$A$135</f>
        <v>ja</v>
      </c>
      <c r="Z349" s="187" t="str">
        <f ca="1">Sprache!$A$79</f>
        <v>Створка</v>
      </c>
      <c r="AA349" s="187">
        <v>300</v>
      </c>
      <c r="AB349" s="124">
        <v>349</v>
      </c>
      <c r="AC349" s="187"/>
      <c r="AD349" s="195">
        <v>2.5</v>
      </c>
      <c r="AE349" s="196">
        <v>8.5</v>
      </c>
      <c r="AF349" s="263" t="str">
        <f>MID(Tabelle2[[#This Row],[bnr full]],1,4)</f>
        <v>F151</v>
      </c>
      <c r="AG349" s="264" t="str">
        <f>MID(Tabelle2[[#This Row],[bnr full]],5,3)</f>
        <v>147</v>
      </c>
      <c r="AH349" s="265" t="str">
        <f>MID(Tabelle2[[#This Row],[bnr full]],8,3)</f>
        <v>811</v>
      </c>
      <c r="AI349" s="264" t="str">
        <f>MID(Tabelle2[[#This Row],[bnr full]],11,3)</f>
        <v>201</v>
      </c>
      <c r="AJ349" s="252" t="str">
        <f>MID(Tabelle2[[#This Row],[bnr full]],11,3)</f>
        <v>201</v>
      </c>
      <c r="AK349" s="197" t="s">
        <v>1661</v>
      </c>
      <c r="AL349" s="124" t="str">
        <f ca="1">Sprache!$A$111</f>
        <v>Комплект (Л + П)</v>
      </c>
      <c r="AM349" s="187" t="s">
        <v>25</v>
      </c>
      <c r="AN349" s="187" t="str">
        <f ca="1">Sprache!$A$128</f>
        <v>Пружина, оранжевая</v>
      </c>
      <c r="AO349" s="187" t="str">
        <f ca="1">Sprache!$A$146</f>
        <v>Адаптер под алюминиевые рамки к комплекту Kinvaro T-71</v>
      </c>
      <c r="AP349" s="225" t="s">
        <v>821</v>
      </c>
      <c r="AQ349" s="187">
        <f>Limits!$K$9</f>
        <v>200</v>
      </c>
      <c r="AR349" s="124">
        <v>1200</v>
      </c>
      <c r="AS349" s="187"/>
      <c r="AT349" s="124"/>
    </row>
    <row r="350" spans="1:55" hidden="1" x14ac:dyDescent="0.25">
      <c r="A350" s="12" t="str">
        <f ca="1">IF(F350+G350+H350+I350+J350+D350+E350=3,IF(Tabelle2[[#This Row],[Kappe Weiß]]=Limits!$R$29,1,""),"")</f>
        <v/>
      </c>
      <c r="B350" s="12" t="str">
        <f ca="1">IF(G350+H350+I350+J350+E350+F350=2,IF(Tabelle2[[#This Row],[Kappe Weiß]]=Limits!$R$29,1,""),"")</f>
        <v/>
      </c>
      <c r="C350" s="292">
        <v>1</v>
      </c>
      <c r="D350" s="171">
        <f>IF(Limits!$P$8=TRUE,1,0)</f>
        <v>0</v>
      </c>
      <c r="E350" s="172">
        <f>IF(Daten!$P350+Daten!$Q350+Daten!$S350=3,1,0)</f>
        <v>0</v>
      </c>
      <c r="F350" s="173">
        <f ca="1">IF(AND(Limits!$Q$21=TRUE,Daten!O350=1)=TRUE,1,0)</f>
        <v>1</v>
      </c>
      <c r="G350" s="174">
        <f ca="1">IF(AND(Limits!$Q$25=TRUE,Daten!N350=1)=TRUE,1,0)</f>
        <v>0</v>
      </c>
      <c r="H350" s="174">
        <f ca="1">IF(AND(Limits!$Q$24=TRUE,Daten!M350=1)=TRUE,1,0)</f>
        <v>0</v>
      </c>
      <c r="I350" s="174">
        <f ca="1">IF(AND(Limits!$Q$23=TRUE,Daten!L350=1)=TRUE,1,0)</f>
        <v>0</v>
      </c>
      <c r="J350" s="174">
        <f ca="1">IF(AND(Limits!$Q$22=TRUE,Daten!K350=1)=TRUE,1,0)</f>
        <v>0</v>
      </c>
      <c r="K350" s="188">
        <f ca="1">IF(Daten!$V350=13,1,0)</f>
        <v>0</v>
      </c>
      <c r="L350" s="189">
        <f ca="1">IF(Daten!$V350&lt;&gt;Daten!$W350,1,IF(Daten!$V350=14,1,0))</f>
        <v>0</v>
      </c>
      <c r="M350" s="189">
        <f ca="1">IF(Daten!$V350&lt;&gt;Daten!$W350,1,IF(Daten!$V350=16,1,0))</f>
        <v>0</v>
      </c>
      <c r="N350" s="189">
        <f ca="1">IF(Daten!$W350=17,1,0)</f>
        <v>0</v>
      </c>
      <c r="O350" s="190">
        <f ca="1">IF(Daten!$X350=Sprache!$A$70,1,0)</f>
        <v>1</v>
      </c>
      <c r="P350" s="198">
        <f>IF(AND(Daten!$AQ350&lt;=KINVARO!$AW$3,Daten!$AR350&gt;=KINVARO!$AW$3)=TRUE,1,0)</f>
        <v>1</v>
      </c>
      <c r="Q350" s="198">
        <f>IF(AND(Daten!$AA350&lt;=KINVARO!$AW$4,Daten!$AB350&gt;=KINVARO!$AW$4)=TRUE,1,0)</f>
        <v>0</v>
      </c>
      <c r="R350" s="198"/>
      <c r="S350" s="198">
        <f>IF(AND(Daten!$AD350&lt;=Limits!$I$70,Daten!$AE350&gt;=Limits!$I$70)=TRUE,1,0)</f>
        <v>0</v>
      </c>
      <c r="T350" s="202">
        <f ca="1">IF(Daten!$Y350=Sprache!$A$135,1,0)</f>
        <v>1</v>
      </c>
      <c r="U350" s="203" t="str">
        <f ca="1">Sprache!$A$66</f>
        <v>T-71 Поворотный подъемник</v>
      </c>
      <c r="V350" s="202" t="str">
        <f ca="1">Sprache!$A$74</f>
        <v>var</v>
      </c>
      <c r="W350" s="200" t="str">
        <f ca="1">Sprache!$A$74</f>
        <v>var</v>
      </c>
      <c r="X350" s="203" t="str">
        <f ca="1">Sprache!$A$70</f>
        <v>соединение с древесиной</v>
      </c>
      <c r="Y350" s="203" t="str">
        <f ca="1">Sprache!$A$135</f>
        <v>ja</v>
      </c>
      <c r="Z350" s="203" t="str">
        <f ca="1">Sprache!$A$79</f>
        <v>Створка</v>
      </c>
      <c r="AA350" s="203">
        <v>350</v>
      </c>
      <c r="AB350" s="201">
        <v>399</v>
      </c>
      <c r="AC350" s="203"/>
      <c r="AD350" s="204">
        <v>1.8</v>
      </c>
      <c r="AE350" s="205">
        <v>6.3</v>
      </c>
      <c r="AF350" s="266" t="str">
        <f>MID(Tabelle2[[#This Row],[bnr full]],1,4)</f>
        <v>F151</v>
      </c>
      <c r="AG350" s="267" t="str">
        <f>MID(Tabelle2[[#This Row],[bnr full]],5,3)</f>
        <v>147</v>
      </c>
      <c r="AH350" s="268" t="str">
        <f>MID(Tabelle2[[#This Row],[bnr full]],8,3)</f>
        <v>811</v>
      </c>
      <c r="AI350" s="267" t="str">
        <f>MID(Tabelle2[[#This Row],[bnr full]],11,3)</f>
        <v>201</v>
      </c>
      <c r="AJ350" s="253" t="str">
        <f>MID(Tabelle2[[#This Row],[bnr full]],11,3)</f>
        <v>201</v>
      </c>
      <c r="AK350" s="206" t="s">
        <v>1661</v>
      </c>
      <c r="AL350" s="201" t="str">
        <f ca="1">Sprache!$A$111</f>
        <v>Комплект (Л + П)</v>
      </c>
      <c r="AM350" s="203" t="s">
        <v>25</v>
      </c>
      <c r="AN350" s="203" t="str">
        <f ca="1">Sprache!$A$127</f>
        <v>Пружина, белая</v>
      </c>
      <c r="AO350" s="203" t="s">
        <v>25</v>
      </c>
      <c r="AP350" s="203" t="s">
        <v>25</v>
      </c>
      <c r="AQ350" s="203">
        <f>Limits!$K$9</f>
        <v>200</v>
      </c>
      <c r="AR350" s="201">
        <v>1200</v>
      </c>
      <c r="AS350" s="187"/>
      <c r="AT350" s="124"/>
      <c r="AU350"/>
      <c r="AV350"/>
      <c r="AY350"/>
      <c r="AZ350"/>
      <c r="BA350"/>
      <c r="BB350"/>
      <c r="BC350"/>
    </row>
    <row r="351" spans="1:55" hidden="1" x14ac:dyDescent="0.25">
      <c r="A351" s="12" t="str">
        <f ca="1">IF(F351+G351+H351+I351+J351+D351+E351=3,IF(Tabelle2[[#This Row],[Kappe Weiß]]=Limits!$R$29,1,""),"")</f>
        <v/>
      </c>
      <c r="B351" s="12" t="str">
        <f ca="1">IF(G351+H351+I351+J351+E351+F351=2,IF(Tabelle2[[#This Row],[Kappe Weiß]]=Limits!$R$29,1,""),"")</f>
        <v/>
      </c>
      <c r="C351" s="291">
        <v>1</v>
      </c>
      <c r="D351" s="171">
        <f>IF(Limits!$P$8=TRUE,1,0)</f>
        <v>0</v>
      </c>
      <c r="E351" s="172">
        <f>IF(Daten!$P351+Daten!$Q351+Daten!$S351=3,1,0)</f>
        <v>0</v>
      </c>
      <c r="F351" s="173">
        <f ca="1">IF(AND(Limits!$Q$21=TRUE,Daten!O351=1)=TRUE,1,0)</f>
        <v>1</v>
      </c>
      <c r="G351" s="174">
        <f ca="1">IF(AND(Limits!$Q$25=TRUE,Daten!N351=1)=TRUE,1,0)</f>
        <v>0</v>
      </c>
      <c r="H351" s="174">
        <f ca="1">IF(AND(Limits!$Q$24=TRUE,Daten!M351=1)=TRUE,1,0)</f>
        <v>0</v>
      </c>
      <c r="I351" s="174">
        <f ca="1">IF(AND(Limits!$Q$23=TRUE,Daten!L351=1)=TRUE,1,0)</f>
        <v>0</v>
      </c>
      <c r="J351" s="174">
        <f ca="1">IF(AND(Limits!$Q$22=TRUE,Daten!K351=1)=TRUE,1,0)</f>
        <v>0</v>
      </c>
      <c r="K351" s="188">
        <f ca="1">IF(Daten!$V351=13,1,0)</f>
        <v>0</v>
      </c>
      <c r="L351" s="189">
        <f ca="1">IF(Daten!$V351&lt;&gt;Daten!$W351,1,IF(Daten!$V351=14,1,0))</f>
        <v>0</v>
      </c>
      <c r="M351" s="189">
        <f ca="1">IF(Daten!$V351&lt;&gt;Daten!$W351,1,IF(Daten!$V351=16,1,0))</f>
        <v>0</v>
      </c>
      <c r="N351" s="189">
        <f ca="1">IF(Daten!$W351=17,1,0)</f>
        <v>0</v>
      </c>
      <c r="O351" s="190">
        <f ca="1">IF(Daten!$X351=Sprache!$A$70,1,0)</f>
        <v>1</v>
      </c>
      <c r="P351" s="191">
        <f>IF(AND(Daten!$AQ351&lt;=KINVARO!$AW$3,Daten!$AR351&gt;=KINVARO!$AW$3)=TRUE,1,0)</f>
        <v>1</v>
      </c>
      <c r="Q351" s="191">
        <f>IF(AND(Daten!$AA351&lt;=KINVARO!$AW$4,Daten!$AB351&gt;=KINVARO!$AW$4)=TRUE,1,0)</f>
        <v>0</v>
      </c>
      <c r="R351" s="191"/>
      <c r="S351" s="191">
        <f>IF(AND(Daten!$AD351&lt;=Limits!$I$70,Daten!$AE351&gt;=Limits!$I$70)=TRUE,1,0)</f>
        <v>0</v>
      </c>
      <c r="T351" s="194">
        <f ca="1">IF(Daten!$Y351=Sprache!$A$135,1,0)</f>
        <v>1</v>
      </c>
      <c r="U351" s="187" t="str">
        <f ca="1">Sprache!$A$66</f>
        <v>T-71 Поворотный подъемник</v>
      </c>
      <c r="V351" s="194" t="str">
        <f ca="1">Sprache!$A$74</f>
        <v>var</v>
      </c>
      <c r="W351" s="193" t="str">
        <f ca="1">Sprache!$A$74</f>
        <v>var</v>
      </c>
      <c r="X351" s="187" t="str">
        <f ca="1">Sprache!$A$70</f>
        <v>соединение с древесиной</v>
      </c>
      <c r="Y351" s="187" t="str">
        <f ca="1">Sprache!$A$135</f>
        <v>ja</v>
      </c>
      <c r="Z351" s="187" t="str">
        <f ca="1">Sprache!$A$79</f>
        <v>Створка</v>
      </c>
      <c r="AA351" s="187">
        <v>350</v>
      </c>
      <c r="AB351" s="124">
        <v>399</v>
      </c>
      <c r="AC351" s="187"/>
      <c r="AD351" s="195">
        <v>2.2999999999999998</v>
      </c>
      <c r="AE351" s="196">
        <v>7.5</v>
      </c>
      <c r="AF351" s="263" t="str">
        <f>MID(Tabelle2[[#This Row],[bnr full]],1,4)</f>
        <v>F151</v>
      </c>
      <c r="AG351" s="264" t="str">
        <f>MID(Tabelle2[[#This Row],[bnr full]],5,3)</f>
        <v>147</v>
      </c>
      <c r="AH351" s="265" t="str">
        <f>MID(Tabelle2[[#This Row],[bnr full]],8,3)</f>
        <v>811</v>
      </c>
      <c r="AI351" s="264" t="str">
        <f>MID(Tabelle2[[#This Row],[bnr full]],11,3)</f>
        <v>201</v>
      </c>
      <c r="AJ351" s="252" t="str">
        <f>MID(Tabelle2[[#This Row],[bnr full]],11,3)</f>
        <v>201</v>
      </c>
      <c r="AK351" s="197" t="s">
        <v>1661</v>
      </c>
      <c r="AL351" s="124" t="str">
        <f ca="1">Sprache!$A$111</f>
        <v>Комплект (Л + П)</v>
      </c>
      <c r="AM351" s="187" t="s">
        <v>25</v>
      </c>
      <c r="AN351" s="187" t="str">
        <f ca="1">Sprache!$A$128</f>
        <v>Пружина, оранжевая</v>
      </c>
      <c r="AO351" s="187" t="s">
        <v>25</v>
      </c>
      <c r="AP351" s="187" t="s">
        <v>25</v>
      </c>
      <c r="AQ351" s="187">
        <f>Limits!$K$9</f>
        <v>200</v>
      </c>
      <c r="AR351" s="124">
        <v>1200</v>
      </c>
      <c r="AS351" s="187"/>
      <c r="AT351" s="124"/>
      <c r="AU351"/>
      <c r="AV351"/>
      <c r="AY351"/>
      <c r="AZ351"/>
      <c r="BA351"/>
      <c r="BB351"/>
      <c r="BC351"/>
    </row>
    <row r="352" spans="1:55" hidden="1" x14ac:dyDescent="0.25">
      <c r="A352" s="12" t="str">
        <f ca="1">IF(F352+G352+H352+I352+J352+D352+E352=3,IF(Tabelle2[[#This Row],[Kappe Weiß]]=Limits!$R$29,1,""),"")</f>
        <v/>
      </c>
      <c r="B352" s="12" t="str">
        <f ca="1">IF(G352+H352+I352+J352+E352+F352=2,IF(Tabelle2[[#This Row],[Kappe Weiß]]=Limits!$R$29,1,""),"")</f>
        <v/>
      </c>
      <c r="C352" s="291">
        <v>1</v>
      </c>
      <c r="D352" s="171">
        <f>IF(Limits!$P$8=TRUE,1,0)</f>
        <v>0</v>
      </c>
      <c r="E352" s="172">
        <f>IF(Daten!$P352+Daten!$Q352+Daten!$S352=3,1,0)</f>
        <v>0</v>
      </c>
      <c r="F352" s="173">
        <f ca="1">IF(AND(Limits!$Q$21=TRUE,Daten!O352=1)=TRUE,1,0)</f>
        <v>0</v>
      </c>
      <c r="G352" s="174">
        <f>IF(AND(Limits!$Q$25=TRUE,Daten!N352=1)=TRUE,1,0)</f>
        <v>0</v>
      </c>
      <c r="H352" s="174">
        <f>IF(AND(Limits!$Q$24=TRUE,Daten!M352=1)=TRUE,1,0)</f>
        <v>0</v>
      </c>
      <c r="I352" s="174">
        <f>IF(AND(Limits!$Q$23=TRUE,Daten!L352=1)=TRUE,1,0)</f>
        <v>0</v>
      </c>
      <c r="J352" s="174">
        <f>IF(AND(Limits!$Q$22=TRUE,Daten!K352=1)=TRUE,1,0)</f>
        <v>0</v>
      </c>
      <c r="K352" s="188">
        <f>IF(Daten!$V352=13,1,0)</f>
        <v>1</v>
      </c>
      <c r="L352" s="189">
        <f>IF(Daten!$V352&lt;&gt;Daten!$W352,1,IF(Daten!$V352=14,1,0))</f>
        <v>1</v>
      </c>
      <c r="M352" s="189">
        <f>IF(Daten!$V352&lt;&gt;Daten!$W352,1,IF(Daten!$V352=16,1,0))</f>
        <v>1</v>
      </c>
      <c r="N352" s="189">
        <f>IF(Daten!$W352=17,1,0)</f>
        <v>1</v>
      </c>
      <c r="O352" s="190">
        <f ca="1">IF(Daten!$X352=Sprache!$A$70,1,0)</f>
        <v>0</v>
      </c>
      <c r="P352" s="191">
        <f>IF(AND(Daten!$AQ352&lt;=KINVARO!$AW$3,Daten!$AR352&gt;=KINVARO!$AW$3)=TRUE,1,0)</f>
        <v>1</v>
      </c>
      <c r="Q352" s="191">
        <f>IF(AND(Daten!$AA352&lt;=KINVARO!$AW$4,Daten!$AB352&gt;=KINVARO!$AW$4)=TRUE,1,0)</f>
        <v>0</v>
      </c>
      <c r="R352" s="191"/>
      <c r="S352" s="191">
        <f>IF(AND(Daten!$AD352&lt;=Limits!$I$70,Daten!$AE352&gt;=Limits!$I$70)=TRUE,1,0)</f>
        <v>0</v>
      </c>
      <c r="T352" s="194">
        <f ca="1">IF(Daten!$Y352=Sprache!$A$135,1,0)</f>
        <v>1</v>
      </c>
      <c r="U352" s="187" t="str">
        <f ca="1">Sprache!$A$66</f>
        <v>T-71 Поворотный подъемник</v>
      </c>
      <c r="V352" s="194">
        <v>13</v>
      </c>
      <c r="W352" s="193">
        <v>17</v>
      </c>
      <c r="X352" s="187" t="str">
        <f ca="1">Sprache!$A$142</f>
        <v>Alu (Rahmen 19mm)</v>
      </c>
      <c r="Y352" s="187" t="str">
        <f ca="1">Sprache!$A$135</f>
        <v>ja</v>
      </c>
      <c r="Z352" s="187" t="str">
        <f ca="1">Sprache!$A$79</f>
        <v>Створка</v>
      </c>
      <c r="AA352" s="187">
        <v>350</v>
      </c>
      <c r="AB352" s="124">
        <v>399</v>
      </c>
      <c r="AC352" s="187"/>
      <c r="AD352" s="195">
        <v>1.8</v>
      </c>
      <c r="AE352" s="196">
        <v>6.3</v>
      </c>
      <c r="AF352" s="263" t="str">
        <f>MID(Tabelle2[[#This Row],[bnr full]],1,4)</f>
        <v>F151</v>
      </c>
      <c r="AG352" s="264" t="str">
        <f>MID(Tabelle2[[#This Row],[bnr full]],5,3)</f>
        <v>147</v>
      </c>
      <c r="AH352" s="265" t="str">
        <f>MID(Tabelle2[[#This Row],[bnr full]],8,3)</f>
        <v>811</v>
      </c>
      <c r="AI352" s="264" t="str">
        <f>MID(Tabelle2[[#This Row],[bnr full]],11,3)</f>
        <v>201</v>
      </c>
      <c r="AJ352" s="252" t="str">
        <f>MID(Tabelle2[[#This Row],[bnr full]],11,3)</f>
        <v>201</v>
      </c>
      <c r="AK352" s="197" t="s">
        <v>1661</v>
      </c>
      <c r="AL352" s="124" t="str">
        <f ca="1">Sprache!$A$111</f>
        <v>Комплект (Л + П)</v>
      </c>
      <c r="AM352" s="187" t="s">
        <v>25</v>
      </c>
      <c r="AN352" s="187" t="str">
        <f ca="1">Sprache!$A$127</f>
        <v>Пружина, белая</v>
      </c>
      <c r="AO352" s="187" t="str">
        <f ca="1">Sprache!$A$146</f>
        <v>Адаптер под алюминиевые рамки к комплекту Kinvaro T-71</v>
      </c>
      <c r="AP352" s="225" t="s">
        <v>821</v>
      </c>
      <c r="AQ352" s="187">
        <f>Limits!$K$9</f>
        <v>200</v>
      </c>
      <c r="AR352" s="124">
        <v>1200</v>
      </c>
      <c r="AS352" s="187"/>
      <c r="AT352" s="124"/>
      <c r="AU352"/>
      <c r="AV352"/>
      <c r="AY352"/>
      <c r="AZ352"/>
      <c r="BA352"/>
      <c r="BB352"/>
      <c r="BC352"/>
    </row>
    <row r="353" spans="1:55" hidden="1" x14ac:dyDescent="0.25">
      <c r="A353" s="12" t="str">
        <f ca="1">IF(F353+G353+H353+I353+J353+D353+E353=3,IF(Tabelle2[[#This Row],[Kappe Weiß]]=Limits!$R$29,1,""),"")</f>
        <v/>
      </c>
      <c r="B353" s="12" t="str">
        <f ca="1">IF(G353+H353+I353+J353+E353+F353=2,IF(Tabelle2[[#This Row],[Kappe Weiß]]=Limits!$R$29,1,""),"")</f>
        <v/>
      </c>
      <c r="C353" s="291">
        <v>1</v>
      </c>
      <c r="D353" s="171">
        <f>IF(Limits!$P$8=TRUE,1,0)</f>
        <v>0</v>
      </c>
      <c r="E353" s="172">
        <f>IF(Daten!$P353+Daten!$Q353+Daten!$S353=3,1,0)</f>
        <v>0</v>
      </c>
      <c r="F353" s="173">
        <f ca="1">IF(AND(Limits!$Q$21=TRUE,Daten!O353=1)=TRUE,1,0)</f>
        <v>0</v>
      </c>
      <c r="G353" s="174">
        <f>IF(AND(Limits!$Q$25=TRUE,Daten!N353=1)=TRUE,1,0)</f>
        <v>0</v>
      </c>
      <c r="H353" s="174">
        <f>IF(AND(Limits!$Q$24=TRUE,Daten!M353=1)=TRUE,1,0)</f>
        <v>0</v>
      </c>
      <c r="I353" s="174">
        <f>IF(AND(Limits!$Q$23=TRUE,Daten!L353=1)=TRUE,1,0)</f>
        <v>0</v>
      </c>
      <c r="J353" s="174">
        <f>IF(AND(Limits!$Q$22=TRUE,Daten!K353=1)=TRUE,1,0)</f>
        <v>0</v>
      </c>
      <c r="K353" s="188">
        <f>IF(Daten!$V353=13,1,0)</f>
        <v>1</v>
      </c>
      <c r="L353" s="189">
        <f>IF(Daten!$V353&lt;&gt;Daten!$W353,1,IF(Daten!$V353=14,1,0))</f>
        <v>1</v>
      </c>
      <c r="M353" s="189">
        <f>IF(Daten!$V353&lt;&gt;Daten!$W353,1,IF(Daten!$V353=16,1,0))</f>
        <v>1</v>
      </c>
      <c r="N353" s="189">
        <f>IF(Daten!$W353=17,1,0)</f>
        <v>1</v>
      </c>
      <c r="O353" s="190">
        <f ca="1">IF(Daten!$X353=Sprache!$A$70,1,0)</f>
        <v>0</v>
      </c>
      <c r="P353" s="191">
        <f>IF(AND(Daten!$AQ353&lt;=KINVARO!$AW$3,Daten!$AR353&gt;=KINVARO!$AW$3)=TRUE,1,0)</f>
        <v>1</v>
      </c>
      <c r="Q353" s="191">
        <f>IF(AND(Daten!$AA353&lt;=KINVARO!$AW$4,Daten!$AB353&gt;=KINVARO!$AW$4)=TRUE,1,0)</f>
        <v>0</v>
      </c>
      <c r="R353" s="191"/>
      <c r="S353" s="191">
        <f>IF(AND(Daten!$AD353&lt;=Limits!$I$70,Daten!$AE353&gt;=Limits!$I$70)=TRUE,1,0)</f>
        <v>0</v>
      </c>
      <c r="T353" s="194">
        <f ca="1">IF(Daten!$Y353=Sprache!$A$135,1,0)</f>
        <v>1</v>
      </c>
      <c r="U353" s="187" t="str">
        <f ca="1">Sprache!$A$66</f>
        <v>T-71 Поворотный подъемник</v>
      </c>
      <c r="V353" s="194">
        <v>13</v>
      </c>
      <c r="W353" s="193">
        <v>17</v>
      </c>
      <c r="X353" s="187" t="str">
        <f ca="1">Sprache!$A$142</f>
        <v>Alu (Rahmen 19mm)</v>
      </c>
      <c r="Y353" s="187" t="str">
        <f ca="1">Sprache!$A$135</f>
        <v>ja</v>
      </c>
      <c r="Z353" s="187" t="str">
        <f ca="1">Sprache!$A$79</f>
        <v>Створка</v>
      </c>
      <c r="AA353" s="187">
        <v>350</v>
      </c>
      <c r="AB353" s="124">
        <v>399</v>
      </c>
      <c r="AC353" s="187"/>
      <c r="AD353" s="195">
        <v>2.2999999999999998</v>
      </c>
      <c r="AE353" s="196">
        <v>7.5</v>
      </c>
      <c r="AF353" s="263" t="str">
        <f>MID(Tabelle2[[#This Row],[bnr full]],1,4)</f>
        <v>F151</v>
      </c>
      <c r="AG353" s="264" t="str">
        <f>MID(Tabelle2[[#This Row],[bnr full]],5,3)</f>
        <v>147</v>
      </c>
      <c r="AH353" s="265" t="str">
        <f>MID(Tabelle2[[#This Row],[bnr full]],8,3)</f>
        <v>811</v>
      </c>
      <c r="AI353" s="264" t="str">
        <f>MID(Tabelle2[[#This Row],[bnr full]],11,3)</f>
        <v>201</v>
      </c>
      <c r="AJ353" s="252" t="str">
        <f>MID(Tabelle2[[#This Row],[bnr full]],11,3)</f>
        <v>201</v>
      </c>
      <c r="AK353" s="197" t="s">
        <v>1661</v>
      </c>
      <c r="AL353" s="124" t="str">
        <f ca="1">Sprache!$A$111</f>
        <v>Комплект (Л + П)</v>
      </c>
      <c r="AM353" s="187" t="s">
        <v>25</v>
      </c>
      <c r="AN353" s="187" t="str">
        <f ca="1">Sprache!$A$128</f>
        <v>Пружина, оранжевая</v>
      </c>
      <c r="AO353" s="187" t="str">
        <f ca="1">Sprache!$A$146</f>
        <v>Адаптер под алюминиевые рамки к комплекту Kinvaro T-71</v>
      </c>
      <c r="AP353" s="225" t="s">
        <v>821</v>
      </c>
      <c r="AQ353" s="187">
        <f>Limits!$K$9</f>
        <v>200</v>
      </c>
      <c r="AR353" s="124">
        <v>1200</v>
      </c>
      <c r="AS353" s="187"/>
      <c r="AT353" s="124"/>
      <c r="AU353"/>
      <c r="AV353"/>
      <c r="AY353"/>
      <c r="AZ353"/>
      <c r="BA353"/>
      <c r="BB353"/>
      <c r="BC353"/>
    </row>
    <row r="354" spans="1:55" hidden="1" x14ac:dyDescent="0.25">
      <c r="A354" s="12" t="str">
        <f ca="1">IF(F354+G354+H354+I354+J354+D354+E354=3,IF(Tabelle2[[#This Row],[Kappe Weiß]]=Limits!$R$29,1,""),"")</f>
        <v/>
      </c>
      <c r="B354" s="12" t="str">
        <f ca="1">IF(G354+H354+I354+J354+E354+F354=2,IF(Tabelle2[[#This Row],[Kappe Weiß]]=Limits!$R$29,1,""),"")</f>
        <v/>
      </c>
      <c r="C354" s="292">
        <v>1</v>
      </c>
      <c r="D354" s="171">
        <f>IF(Limits!$P$8=TRUE,1,0)</f>
        <v>0</v>
      </c>
      <c r="E354" s="172">
        <f>IF(Daten!$P354+Daten!$Q354+Daten!$S354=3,1,0)</f>
        <v>0</v>
      </c>
      <c r="F354" s="173">
        <f ca="1">IF(AND(Limits!$Q$21=TRUE,Daten!O354=1)=TRUE,1,0)</f>
        <v>1</v>
      </c>
      <c r="G354" s="174">
        <f ca="1">IF(AND(Limits!$Q$25=TRUE,Daten!N354=1)=TRUE,1,0)</f>
        <v>0</v>
      </c>
      <c r="H354" s="174">
        <f ca="1">IF(AND(Limits!$Q$24=TRUE,Daten!M354=1)=TRUE,1,0)</f>
        <v>0</v>
      </c>
      <c r="I354" s="174">
        <f ca="1">IF(AND(Limits!$Q$23=TRUE,Daten!L354=1)=TRUE,1,0)</f>
        <v>0</v>
      </c>
      <c r="J354" s="174">
        <f ca="1">IF(AND(Limits!$Q$22=TRUE,Daten!K354=1)=TRUE,1,0)</f>
        <v>0</v>
      </c>
      <c r="K354" s="188">
        <f ca="1">IF(Daten!$V354=13,1,0)</f>
        <v>0</v>
      </c>
      <c r="L354" s="189">
        <f ca="1">IF(Daten!$V354&lt;&gt;Daten!$W354,1,IF(Daten!$V354=14,1,0))</f>
        <v>0</v>
      </c>
      <c r="M354" s="189">
        <f ca="1">IF(Daten!$V354&lt;&gt;Daten!$W354,1,IF(Daten!$V354=16,1,0))</f>
        <v>0</v>
      </c>
      <c r="N354" s="189">
        <f ca="1">IF(Daten!$W354=17,1,0)</f>
        <v>0</v>
      </c>
      <c r="O354" s="190">
        <f ca="1">IF(Daten!$X354=Sprache!$A$70,1,0)</f>
        <v>1</v>
      </c>
      <c r="P354" s="198">
        <f>IF(AND(Daten!$AQ354&lt;=KINVARO!$AW$3,Daten!$AR354&gt;=KINVARO!$AW$3)=TRUE,1,0)</f>
        <v>1</v>
      </c>
      <c r="Q354" s="199">
        <f>IF(AND(Daten!$AA354&lt;=KINVARO!$AW$4,Daten!$AB354&gt;=KINVARO!$AW$4)=TRUE,1,0)</f>
        <v>0</v>
      </c>
      <c r="R354" s="199"/>
      <c r="S354" s="199">
        <f>IF(AND(Daten!$AD354&lt;=Limits!$I$70,Daten!$AE354&gt;=Limits!$I$70)=TRUE,1,0)</f>
        <v>0</v>
      </c>
      <c r="T354" s="200">
        <f ca="1">IF(Daten!$Y354=Sprache!$A$135,1,0)</f>
        <v>1</v>
      </c>
      <c r="U354" s="201" t="str">
        <f ca="1">Sprache!$A$66</f>
        <v>T-71 Поворотный подъемник</v>
      </c>
      <c r="V354" s="202" t="str">
        <f ca="1">Sprache!$A$74</f>
        <v>var</v>
      </c>
      <c r="W354" s="200" t="str">
        <f ca="1">Sprache!$A$74</f>
        <v>var</v>
      </c>
      <c r="X354" s="203" t="str">
        <f ca="1">Sprache!$A$70</f>
        <v>соединение с древесиной</v>
      </c>
      <c r="Y354" s="203" t="str">
        <f ca="1">Sprache!$A$135</f>
        <v>ja</v>
      </c>
      <c r="Z354" s="203" t="str">
        <f ca="1">Sprache!$A$79</f>
        <v>Створка</v>
      </c>
      <c r="AA354" s="203">
        <v>400</v>
      </c>
      <c r="AB354" s="201">
        <v>449</v>
      </c>
      <c r="AC354" s="203"/>
      <c r="AD354" s="204">
        <v>1.7</v>
      </c>
      <c r="AE354" s="205">
        <v>5.4</v>
      </c>
      <c r="AF354" s="266" t="str">
        <f>MID(Tabelle2[[#This Row],[bnr full]],1,4)</f>
        <v>F151</v>
      </c>
      <c r="AG354" s="267" t="str">
        <f>MID(Tabelle2[[#This Row],[bnr full]],5,3)</f>
        <v>147</v>
      </c>
      <c r="AH354" s="268" t="str">
        <f>MID(Tabelle2[[#This Row],[bnr full]],8,3)</f>
        <v>811</v>
      </c>
      <c r="AI354" s="267" t="str">
        <f>MID(Tabelle2[[#This Row],[bnr full]],11,3)</f>
        <v>201</v>
      </c>
      <c r="AJ354" s="253" t="str">
        <f>MID(Tabelle2[[#This Row],[bnr full]],11,3)</f>
        <v>201</v>
      </c>
      <c r="AK354" s="206" t="s">
        <v>1661</v>
      </c>
      <c r="AL354" s="201" t="str">
        <f ca="1">Sprache!$A$111</f>
        <v>Комплект (Л + П)</v>
      </c>
      <c r="AM354" s="203" t="s">
        <v>25</v>
      </c>
      <c r="AN354" s="203" t="str">
        <f ca="1">Sprache!$A$127</f>
        <v>Пружина, белая</v>
      </c>
      <c r="AO354" s="203" t="s">
        <v>25</v>
      </c>
      <c r="AP354" s="203" t="s">
        <v>25</v>
      </c>
      <c r="AQ354" s="203">
        <f>Limits!$K$9</f>
        <v>200</v>
      </c>
      <c r="AR354" s="201">
        <v>1200</v>
      </c>
      <c r="AS354" s="187"/>
      <c r="AT354" s="124"/>
      <c r="AU354"/>
      <c r="AV354"/>
      <c r="AY354"/>
      <c r="AZ354"/>
      <c r="BA354"/>
      <c r="BB354"/>
      <c r="BC354"/>
    </row>
    <row r="355" spans="1:55" s="5" customFormat="1" hidden="1" x14ac:dyDescent="0.25">
      <c r="A355" s="12" t="str">
        <f ca="1">IF(F355+G355+H355+I355+J355+D355+E355=3,IF(Tabelle2[[#This Row],[Kappe Weiß]]=Limits!$R$29,1,""),"")</f>
        <v/>
      </c>
      <c r="B355" s="12" t="str">
        <f ca="1">IF(G355+H355+I355+J355+E355+F355=2,IF(Tabelle2[[#This Row],[Kappe Weiß]]=Limits!$R$29,1,""),"")</f>
        <v/>
      </c>
      <c r="C355" s="291">
        <v>1</v>
      </c>
      <c r="D355" s="171">
        <f>IF(Limits!$P$8=TRUE,1,0)</f>
        <v>0</v>
      </c>
      <c r="E355" s="172">
        <f>IF(Daten!$P355+Daten!$Q355+Daten!$S355=3,1,0)</f>
        <v>0</v>
      </c>
      <c r="F355" s="173">
        <f ca="1">IF(AND(Limits!$Q$21=TRUE,Daten!O355=1)=TRUE,1,0)</f>
        <v>1</v>
      </c>
      <c r="G355" s="174">
        <f ca="1">IF(AND(Limits!$Q$25=TRUE,Daten!N355=1)=TRUE,1,0)</f>
        <v>0</v>
      </c>
      <c r="H355" s="174">
        <f ca="1">IF(AND(Limits!$Q$24=TRUE,Daten!M355=1)=TRUE,1,0)</f>
        <v>0</v>
      </c>
      <c r="I355" s="174">
        <f ca="1">IF(AND(Limits!$Q$23=TRUE,Daten!L355=1)=TRUE,1,0)</f>
        <v>0</v>
      </c>
      <c r="J355" s="174">
        <f ca="1">IF(AND(Limits!$Q$22=TRUE,Daten!K355=1)=TRUE,1,0)</f>
        <v>0</v>
      </c>
      <c r="K355" s="188">
        <f ca="1">IF(Daten!$V355=13,1,0)</f>
        <v>0</v>
      </c>
      <c r="L355" s="189">
        <f ca="1">IF(Daten!$V355&lt;&gt;Daten!$W355,1,IF(Daten!$V355=14,1,0))</f>
        <v>0</v>
      </c>
      <c r="M355" s="189">
        <f ca="1">IF(Daten!$V355&lt;&gt;Daten!$W355,1,IF(Daten!$V355=16,1,0))</f>
        <v>0</v>
      </c>
      <c r="N355" s="189">
        <f ca="1">IF(Daten!$W355=17,1,0)</f>
        <v>0</v>
      </c>
      <c r="O355" s="190">
        <f ca="1">IF(Daten!$X355=Sprache!$A$70,1,0)</f>
        <v>1</v>
      </c>
      <c r="P355" s="191">
        <f>IF(AND(Daten!$AQ355&lt;=KINVARO!$AW$3,Daten!$AR355&gt;=KINVARO!$AW$3)=TRUE,1,0)</f>
        <v>1</v>
      </c>
      <c r="Q355" s="192">
        <f>IF(AND(Daten!$AA355&lt;=KINVARO!$AW$4,Daten!$AB355&gt;=KINVARO!$AW$4)=TRUE,1,0)</f>
        <v>0</v>
      </c>
      <c r="R355" s="192"/>
      <c r="S355" s="192">
        <f>IF(AND(Daten!$AD355&lt;=Limits!$I$70,Daten!$AE355&gt;=Limits!$I$70)=TRUE,1,0)</f>
        <v>0</v>
      </c>
      <c r="T355" s="193">
        <f ca="1">IF(Daten!$Y355=Sprache!$A$135,1,0)</f>
        <v>1</v>
      </c>
      <c r="U355" s="124" t="str">
        <f ca="1">Sprache!$A$66</f>
        <v>T-71 Поворотный подъемник</v>
      </c>
      <c r="V355" s="194" t="str">
        <f ca="1">Sprache!$A$74</f>
        <v>var</v>
      </c>
      <c r="W355" s="193" t="str">
        <f ca="1">Sprache!$A$74</f>
        <v>var</v>
      </c>
      <c r="X355" s="187" t="str">
        <f ca="1">Sprache!$A$70</f>
        <v>соединение с древесиной</v>
      </c>
      <c r="Y355" s="187" t="str">
        <f ca="1">Sprache!$A$135</f>
        <v>ja</v>
      </c>
      <c r="Z355" s="187" t="str">
        <f ca="1">Sprache!$A$79</f>
        <v>Створка</v>
      </c>
      <c r="AA355" s="187">
        <v>400</v>
      </c>
      <c r="AB355" s="124">
        <v>449</v>
      </c>
      <c r="AC355" s="187"/>
      <c r="AD355" s="195">
        <v>2.1</v>
      </c>
      <c r="AE355" s="196">
        <v>6.8</v>
      </c>
      <c r="AF355" s="263" t="str">
        <f>MID(Tabelle2[[#This Row],[bnr full]],1,4)</f>
        <v>F151</v>
      </c>
      <c r="AG355" s="264" t="str">
        <f>MID(Tabelle2[[#This Row],[bnr full]],5,3)</f>
        <v>147</v>
      </c>
      <c r="AH355" s="265" t="str">
        <f>MID(Tabelle2[[#This Row],[bnr full]],8,3)</f>
        <v>811</v>
      </c>
      <c r="AI355" s="264" t="str">
        <f>MID(Tabelle2[[#This Row],[bnr full]],11,3)</f>
        <v>201</v>
      </c>
      <c r="AJ355" s="252" t="str">
        <f>MID(Tabelle2[[#This Row],[bnr full]],11,3)</f>
        <v>201</v>
      </c>
      <c r="AK355" s="197" t="s">
        <v>1661</v>
      </c>
      <c r="AL355" s="124" t="str">
        <f ca="1">Sprache!$A$111</f>
        <v>Комплект (Л + П)</v>
      </c>
      <c r="AM355" s="187" t="s">
        <v>25</v>
      </c>
      <c r="AN355" s="187" t="str">
        <f ca="1">Sprache!$A$128</f>
        <v>Пружина, оранжевая</v>
      </c>
      <c r="AO355" s="187" t="s">
        <v>25</v>
      </c>
      <c r="AP355" s="187" t="s">
        <v>25</v>
      </c>
      <c r="AQ355" s="187">
        <f>Limits!$K$9</f>
        <v>200</v>
      </c>
      <c r="AR355" s="124">
        <v>1200</v>
      </c>
      <c r="AS355" s="187"/>
      <c r="AT355" s="124"/>
    </row>
    <row r="356" spans="1:55" hidden="1" x14ac:dyDescent="0.25">
      <c r="A356" s="12" t="str">
        <f ca="1">IF(F356+G356+H356+I356+J356+D356+E356=3,IF(Tabelle2[[#This Row],[Kappe Weiß]]=Limits!$R$29,1,""),"")</f>
        <v/>
      </c>
      <c r="B356" s="12" t="str">
        <f ca="1">IF(G356+H356+I356+J356+E356+F356=2,IF(Tabelle2[[#This Row],[Kappe Weiß]]=Limits!$R$29,1,""),"")</f>
        <v/>
      </c>
      <c r="C356" s="291">
        <v>1</v>
      </c>
      <c r="D356" s="171">
        <f>IF(Limits!$P$8=TRUE,1,0)</f>
        <v>0</v>
      </c>
      <c r="E356" s="172">
        <f>IF(Daten!$P356+Daten!$Q356+Daten!$S356=3,1,0)</f>
        <v>0</v>
      </c>
      <c r="F356" s="173">
        <f ca="1">IF(AND(Limits!$Q$21=TRUE,Daten!O356=1)=TRUE,1,0)</f>
        <v>0</v>
      </c>
      <c r="G356" s="174">
        <f>IF(AND(Limits!$Q$25=TRUE,Daten!N356=1)=TRUE,1,0)</f>
        <v>0</v>
      </c>
      <c r="H356" s="174">
        <f>IF(AND(Limits!$Q$24=TRUE,Daten!M356=1)=TRUE,1,0)</f>
        <v>0</v>
      </c>
      <c r="I356" s="174">
        <f>IF(AND(Limits!$Q$23=TRUE,Daten!L356=1)=TRUE,1,0)</f>
        <v>0</v>
      </c>
      <c r="J356" s="174">
        <f>IF(AND(Limits!$Q$22=TRUE,Daten!K356=1)=TRUE,1,0)</f>
        <v>0</v>
      </c>
      <c r="K356" s="188">
        <f>IF(Daten!$V356=13,1,0)</f>
        <v>1</v>
      </c>
      <c r="L356" s="189">
        <f>IF(Daten!$V356&lt;&gt;Daten!$W356,1,IF(Daten!$V356=14,1,0))</f>
        <v>1</v>
      </c>
      <c r="M356" s="189">
        <f>IF(Daten!$V356&lt;&gt;Daten!$W356,1,IF(Daten!$V356=16,1,0))</f>
        <v>1</v>
      </c>
      <c r="N356" s="189">
        <f>IF(Daten!$W356=17,1,0)</f>
        <v>1</v>
      </c>
      <c r="O356" s="190">
        <f ca="1">IF(Daten!$X356=Sprache!$A$70,1,0)</f>
        <v>0</v>
      </c>
      <c r="P356" s="191">
        <f>IF(AND(Daten!$AQ356&lt;=KINVARO!$AW$3,Daten!$AR356&gt;=KINVARO!$AW$3)=TRUE,1,0)</f>
        <v>1</v>
      </c>
      <c r="Q356" s="192">
        <f>IF(AND(Daten!$AA356&lt;=KINVARO!$AW$4,Daten!$AB356&gt;=KINVARO!$AW$4)=TRUE,1,0)</f>
        <v>0</v>
      </c>
      <c r="R356" s="192"/>
      <c r="S356" s="192">
        <f>IF(AND(Daten!$AD356&lt;=Limits!$I$70,Daten!$AE356&gt;=Limits!$I$70)=TRUE,1,0)</f>
        <v>0</v>
      </c>
      <c r="T356" s="193">
        <f ca="1">IF(Daten!$Y356=Sprache!$A$135,1,0)</f>
        <v>1</v>
      </c>
      <c r="U356" s="124" t="str">
        <f ca="1">Sprache!$A$66</f>
        <v>T-71 Поворотный подъемник</v>
      </c>
      <c r="V356" s="194">
        <v>13</v>
      </c>
      <c r="W356" s="193">
        <v>17</v>
      </c>
      <c r="X356" s="187" t="str">
        <f ca="1">Sprache!$A$142</f>
        <v>Alu (Rahmen 19mm)</v>
      </c>
      <c r="Y356" s="187" t="str">
        <f ca="1">Sprache!$A$135</f>
        <v>ja</v>
      </c>
      <c r="Z356" s="187" t="str">
        <f ca="1">Sprache!$A$79</f>
        <v>Створка</v>
      </c>
      <c r="AA356" s="187">
        <v>400</v>
      </c>
      <c r="AB356" s="124">
        <v>449</v>
      </c>
      <c r="AC356" s="187"/>
      <c r="AD356" s="195">
        <v>1.7</v>
      </c>
      <c r="AE356" s="196">
        <v>5.4</v>
      </c>
      <c r="AF356" s="263" t="str">
        <f>MID(Tabelle2[[#This Row],[bnr full]],1,4)</f>
        <v>F151</v>
      </c>
      <c r="AG356" s="264" t="str">
        <f>MID(Tabelle2[[#This Row],[bnr full]],5,3)</f>
        <v>147</v>
      </c>
      <c r="AH356" s="265" t="str">
        <f>MID(Tabelle2[[#This Row],[bnr full]],8,3)</f>
        <v>811</v>
      </c>
      <c r="AI356" s="264" t="str">
        <f>MID(Tabelle2[[#This Row],[bnr full]],11,3)</f>
        <v>201</v>
      </c>
      <c r="AJ356" s="252" t="str">
        <f>MID(Tabelle2[[#This Row],[bnr full]],11,3)</f>
        <v>201</v>
      </c>
      <c r="AK356" s="197" t="s">
        <v>1661</v>
      </c>
      <c r="AL356" s="124" t="str">
        <f ca="1">Sprache!$A$111</f>
        <v>Комплект (Л + П)</v>
      </c>
      <c r="AM356" s="187" t="s">
        <v>25</v>
      </c>
      <c r="AN356" s="187" t="str">
        <f ca="1">Sprache!$A$127</f>
        <v>Пружина, белая</v>
      </c>
      <c r="AO356" s="187" t="str">
        <f ca="1">Sprache!$A$146</f>
        <v>Адаптер под алюминиевые рамки к комплекту Kinvaro T-71</v>
      </c>
      <c r="AP356" s="225" t="s">
        <v>821</v>
      </c>
      <c r="AQ356" s="187">
        <f>Limits!$K$9</f>
        <v>200</v>
      </c>
      <c r="AR356" s="124">
        <v>1200</v>
      </c>
      <c r="AS356" s="187"/>
      <c r="AT356" s="124"/>
      <c r="AU356"/>
      <c r="AV356"/>
      <c r="AY356"/>
      <c r="AZ356"/>
      <c r="BA356"/>
      <c r="BB356"/>
      <c r="BC356"/>
    </row>
    <row r="357" spans="1:55" hidden="1" x14ac:dyDescent="0.25">
      <c r="A357" s="12" t="str">
        <f ca="1">IF(F357+G357+H357+I357+J357+D357+E357=3,IF(Tabelle2[[#This Row],[Kappe Weiß]]=Limits!$R$29,1,""),"")</f>
        <v/>
      </c>
      <c r="B357" s="12" t="str">
        <f ca="1">IF(G357+H357+I357+J357+E357+F357=2,IF(Tabelle2[[#This Row],[Kappe Weiß]]=Limits!$R$29,1,""),"")</f>
        <v/>
      </c>
      <c r="C357" s="291">
        <v>1</v>
      </c>
      <c r="D357" s="171">
        <f>IF(Limits!$P$8=TRUE,1,0)</f>
        <v>0</v>
      </c>
      <c r="E357" s="172">
        <f>IF(Daten!$P357+Daten!$Q357+Daten!$S357=3,1,0)</f>
        <v>0</v>
      </c>
      <c r="F357" s="173">
        <f ca="1">IF(AND(Limits!$Q$21=TRUE,Daten!O357=1)=TRUE,1,0)</f>
        <v>0</v>
      </c>
      <c r="G357" s="174">
        <f>IF(AND(Limits!$Q$25=TRUE,Daten!N357=1)=TRUE,1,0)</f>
        <v>0</v>
      </c>
      <c r="H357" s="174">
        <f>IF(AND(Limits!$Q$24=TRUE,Daten!M357=1)=TRUE,1,0)</f>
        <v>0</v>
      </c>
      <c r="I357" s="174">
        <f>IF(AND(Limits!$Q$23=TRUE,Daten!L357=1)=TRUE,1,0)</f>
        <v>0</v>
      </c>
      <c r="J357" s="174">
        <f>IF(AND(Limits!$Q$22=TRUE,Daten!K357=1)=TRUE,1,0)</f>
        <v>0</v>
      </c>
      <c r="K357" s="188">
        <f>IF(Daten!$V357=13,1,0)</f>
        <v>1</v>
      </c>
      <c r="L357" s="189">
        <f>IF(Daten!$V357&lt;&gt;Daten!$W357,1,IF(Daten!$V357=14,1,0))</f>
        <v>1</v>
      </c>
      <c r="M357" s="189">
        <f>IF(Daten!$V357&lt;&gt;Daten!$W357,1,IF(Daten!$V357=16,1,0))</f>
        <v>1</v>
      </c>
      <c r="N357" s="189">
        <f>IF(Daten!$W357=17,1,0)</f>
        <v>1</v>
      </c>
      <c r="O357" s="190">
        <f ca="1">IF(Daten!$X357=Sprache!$A$70,1,0)</f>
        <v>0</v>
      </c>
      <c r="P357" s="191">
        <f>IF(AND(Daten!$AQ357&lt;=KINVARO!$AW$3,Daten!$AR357&gt;=KINVARO!$AW$3)=TRUE,1,0)</f>
        <v>1</v>
      </c>
      <c r="Q357" s="192">
        <f>IF(AND(Daten!$AA357&lt;=KINVARO!$AW$4,Daten!$AB357&gt;=KINVARO!$AW$4)=TRUE,1,0)</f>
        <v>0</v>
      </c>
      <c r="R357" s="192"/>
      <c r="S357" s="192">
        <f>IF(AND(Daten!$AD357&lt;=Limits!$I$70,Daten!$AE357&gt;=Limits!$I$70)=TRUE,1,0)</f>
        <v>0</v>
      </c>
      <c r="T357" s="193">
        <f ca="1">IF(Daten!$Y357=Sprache!$A$135,1,0)</f>
        <v>1</v>
      </c>
      <c r="U357" s="124" t="str">
        <f ca="1">Sprache!$A$66</f>
        <v>T-71 Поворотный подъемник</v>
      </c>
      <c r="V357" s="194">
        <v>13</v>
      </c>
      <c r="W357" s="193">
        <v>17</v>
      </c>
      <c r="X357" s="187" t="str">
        <f ca="1">Sprache!$A$142</f>
        <v>Alu (Rahmen 19mm)</v>
      </c>
      <c r="Y357" s="187" t="str">
        <f ca="1">Sprache!$A$135</f>
        <v>ja</v>
      </c>
      <c r="Z357" s="187" t="str">
        <f ca="1">Sprache!$A$79</f>
        <v>Створка</v>
      </c>
      <c r="AA357" s="187">
        <v>400</v>
      </c>
      <c r="AB357" s="124">
        <v>449</v>
      </c>
      <c r="AC357" s="187"/>
      <c r="AD357" s="195">
        <v>2.1</v>
      </c>
      <c r="AE357" s="196">
        <v>6.8</v>
      </c>
      <c r="AF357" s="263" t="str">
        <f>MID(Tabelle2[[#This Row],[bnr full]],1,4)</f>
        <v>F151</v>
      </c>
      <c r="AG357" s="264" t="str">
        <f>MID(Tabelle2[[#This Row],[bnr full]],5,3)</f>
        <v>147</v>
      </c>
      <c r="AH357" s="265" t="str">
        <f>MID(Tabelle2[[#This Row],[bnr full]],8,3)</f>
        <v>811</v>
      </c>
      <c r="AI357" s="264" t="str">
        <f>MID(Tabelle2[[#This Row],[bnr full]],11,3)</f>
        <v>201</v>
      </c>
      <c r="AJ357" s="252" t="str">
        <f>MID(Tabelle2[[#This Row],[bnr full]],11,3)</f>
        <v>201</v>
      </c>
      <c r="AK357" s="197" t="s">
        <v>1661</v>
      </c>
      <c r="AL357" s="124" t="str">
        <f ca="1">Sprache!$A$111</f>
        <v>Комплект (Л + П)</v>
      </c>
      <c r="AM357" s="187" t="s">
        <v>25</v>
      </c>
      <c r="AN357" s="187" t="str">
        <f ca="1">Sprache!$A$128</f>
        <v>Пружина, оранжевая</v>
      </c>
      <c r="AO357" s="187" t="str">
        <f ca="1">Sprache!$A$146</f>
        <v>Адаптер под алюминиевые рамки к комплекту Kinvaro T-71</v>
      </c>
      <c r="AP357" s="225" t="s">
        <v>821</v>
      </c>
      <c r="AQ357" s="187">
        <f>Limits!$K$9</f>
        <v>200</v>
      </c>
      <c r="AR357" s="124">
        <v>1200</v>
      </c>
      <c r="AS357" s="187"/>
      <c r="AT357" s="124"/>
      <c r="AU357"/>
      <c r="AV357"/>
      <c r="AY357"/>
      <c r="AZ357"/>
      <c r="BA357"/>
      <c r="BB357"/>
      <c r="BC357"/>
    </row>
    <row r="358" spans="1:55" hidden="1" x14ac:dyDescent="0.25">
      <c r="A358" s="12" t="str">
        <f ca="1">IF(F358+G358+H358+I358+J358+D358+E358=3,IF(Tabelle2[[#This Row],[Kappe Weiß]]=Limits!$R$29,1,""),"")</f>
        <v/>
      </c>
      <c r="B358" s="12" t="str">
        <f ca="1">IF(G358+H358+I358+J358+E358+F358=2,IF(Tabelle2[[#This Row],[Kappe Weiß]]=Limits!$R$29,1,""),"")</f>
        <v/>
      </c>
      <c r="C358" s="292">
        <v>1</v>
      </c>
      <c r="D358" s="171">
        <f>IF(Limits!$P$8=TRUE,1,0)</f>
        <v>0</v>
      </c>
      <c r="E358" s="172">
        <f>IF(Daten!$P358+Daten!$Q358+Daten!$S358=3,1,0)</f>
        <v>0</v>
      </c>
      <c r="F358" s="173">
        <f ca="1">IF(AND(Limits!$Q$21=TRUE,Daten!O358=1)=TRUE,1,0)</f>
        <v>1</v>
      </c>
      <c r="G358" s="174">
        <f ca="1">IF(AND(Limits!$Q$25=TRUE,Daten!N358=1)=TRUE,1,0)</f>
        <v>0</v>
      </c>
      <c r="H358" s="174">
        <f ca="1">IF(AND(Limits!$Q$24=TRUE,Daten!M358=1)=TRUE,1,0)</f>
        <v>0</v>
      </c>
      <c r="I358" s="174">
        <f ca="1">IF(AND(Limits!$Q$23=TRUE,Daten!L358=1)=TRUE,1,0)</f>
        <v>0</v>
      </c>
      <c r="J358" s="174">
        <f ca="1">IF(AND(Limits!$Q$22=TRUE,Daten!K358=1)=TRUE,1,0)</f>
        <v>0</v>
      </c>
      <c r="K358" s="188">
        <f ca="1">IF(Daten!$V358=13,1,0)</f>
        <v>0</v>
      </c>
      <c r="L358" s="189">
        <f ca="1">IF(Daten!$V358&lt;&gt;Daten!$W358,1,IF(Daten!$V358=14,1,0))</f>
        <v>0</v>
      </c>
      <c r="M358" s="189">
        <f ca="1">IF(Daten!$V358&lt;&gt;Daten!$W358,1,IF(Daten!$V358=16,1,0))</f>
        <v>0</v>
      </c>
      <c r="N358" s="189">
        <f ca="1">IF(Daten!$W358=17,1,0)</f>
        <v>0</v>
      </c>
      <c r="O358" s="190">
        <f ca="1">IF(Daten!$X358=Sprache!$A$70,1,0)</f>
        <v>1</v>
      </c>
      <c r="P358" s="198">
        <f>IF(AND(Daten!$AQ358&lt;=KINVARO!$AW$3,Daten!$AR358&gt;=KINVARO!$AW$3)=TRUE,1,0)</f>
        <v>1</v>
      </c>
      <c r="Q358" s="198">
        <f>IF(AND(Daten!$AA358&lt;=KINVARO!$AW$4,Daten!$AB358&gt;=KINVARO!$AW$4)=TRUE,1,0)</f>
        <v>0</v>
      </c>
      <c r="R358" s="198"/>
      <c r="S358" s="198">
        <f>IF(AND(Daten!$AD358&lt;=Limits!$I$70,Daten!$AE358&gt;=Limits!$I$70)=TRUE,1,0)</f>
        <v>0</v>
      </c>
      <c r="T358" s="202">
        <f ca="1">IF(Daten!$Y358=Sprache!$A$135,1,0)</f>
        <v>1</v>
      </c>
      <c r="U358" s="203" t="str">
        <f ca="1">Sprache!$A$66</f>
        <v>T-71 Поворотный подъемник</v>
      </c>
      <c r="V358" s="202" t="str">
        <f ca="1">Sprache!$A$74</f>
        <v>var</v>
      </c>
      <c r="W358" s="200" t="str">
        <f ca="1">Sprache!$A$74</f>
        <v>var</v>
      </c>
      <c r="X358" s="203" t="str">
        <f ca="1">Sprache!$A$70</f>
        <v>соединение с древесиной</v>
      </c>
      <c r="Y358" s="203" t="str">
        <f ca="1">Sprache!$A$135</f>
        <v>ja</v>
      </c>
      <c r="Z358" s="203" t="str">
        <f ca="1">Sprache!$A$79</f>
        <v>Створка</v>
      </c>
      <c r="AA358" s="203">
        <v>450</v>
      </c>
      <c r="AB358" s="201">
        <v>499</v>
      </c>
      <c r="AC358" s="203"/>
      <c r="AD358" s="204">
        <v>1.6</v>
      </c>
      <c r="AE358" s="205">
        <v>4.7</v>
      </c>
      <c r="AF358" s="266" t="str">
        <f>MID(Tabelle2[[#This Row],[bnr full]],1,4)</f>
        <v>F151</v>
      </c>
      <c r="AG358" s="267" t="str">
        <f>MID(Tabelle2[[#This Row],[bnr full]],5,3)</f>
        <v>147</v>
      </c>
      <c r="AH358" s="268" t="str">
        <f>MID(Tabelle2[[#This Row],[bnr full]],8,3)</f>
        <v>811</v>
      </c>
      <c r="AI358" s="267" t="str">
        <f>MID(Tabelle2[[#This Row],[bnr full]],11,3)</f>
        <v>201</v>
      </c>
      <c r="AJ358" s="253" t="str">
        <f>MID(Tabelle2[[#This Row],[bnr full]],11,3)</f>
        <v>201</v>
      </c>
      <c r="AK358" s="206" t="s">
        <v>1661</v>
      </c>
      <c r="AL358" s="201" t="str">
        <f ca="1">Sprache!$A$111</f>
        <v>Комплект (Л + П)</v>
      </c>
      <c r="AM358" s="203" t="s">
        <v>25</v>
      </c>
      <c r="AN358" s="203" t="str">
        <f ca="1">Sprache!$A$127</f>
        <v>Пружина, белая</v>
      </c>
      <c r="AO358" s="203" t="s">
        <v>25</v>
      </c>
      <c r="AP358" s="203" t="s">
        <v>25</v>
      </c>
      <c r="AQ358" s="203">
        <f>Limits!$K$9</f>
        <v>200</v>
      </c>
      <c r="AR358" s="201">
        <v>1200</v>
      </c>
      <c r="AS358" s="187"/>
      <c r="AT358" s="124"/>
      <c r="AU358"/>
      <c r="AV358"/>
      <c r="AY358"/>
      <c r="AZ358"/>
      <c r="BA358"/>
      <c r="BB358"/>
      <c r="BC358"/>
    </row>
    <row r="359" spans="1:55" hidden="1" x14ac:dyDescent="0.25">
      <c r="A359" s="12" t="str">
        <f ca="1">IF(F359+G359+H359+I359+J359+D359+E359=3,IF(Tabelle2[[#This Row],[Kappe Weiß]]=Limits!$R$29,1,""),"")</f>
        <v/>
      </c>
      <c r="B359" s="12" t="str">
        <f ca="1">IF(G359+H359+I359+J359+E359+F359=2,IF(Tabelle2[[#This Row],[Kappe Weiß]]=Limits!$R$29,1,""),"")</f>
        <v/>
      </c>
      <c r="C359" s="291">
        <v>1</v>
      </c>
      <c r="D359" s="171">
        <f>IF(Limits!$P$8=TRUE,1,0)</f>
        <v>0</v>
      </c>
      <c r="E359" s="172">
        <f>IF(Daten!$P359+Daten!$Q359+Daten!$S359=3,1,0)</f>
        <v>0</v>
      </c>
      <c r="F359" s="173">
        <f ca="1">IF(AND(Limits!$Q$21=TRUE,Daten!O359=1)=TRUE,1,0)</f>
        <v>1</v>
      </c>
      <c r="G359" s="174">
        <f ca="1">IF(AND(Limits!$Q$25=TRUE,Daten!N359=1)=TRUE,1,0)</f>
        <v>0</v>
      </c>
      <c r="H359" s="174">
        <f ca="1">IF(AND(Limits!$Q$24=TRUE,Daten!M359=1)=TRUE,1,0)</f>
        <v>0</v>
      </c>
      <c r="I359" s="174">
        <f ca="1">IF(AND(Limits!$Q$23=TRUE,Daten!L359=1)=TRUE,1,0)</f>
        <v>0</v>
      </c>
      <c r="J359" s="174">
        <f ca="1">IF(AND(Limits!$Q$22=TRUE,Daten!K359=1)=TRUE,1,0)</f>
        <v>0</v>
      </c>
      <c r="K359" s="188">
        <f ca="1">IF(Daten!$V359=13,1,0)</f>
        <v>0</v>
      </c>
      <c r="L359" s="189">
        <f ca="1">IF(Daten!$V359&lt;&gt;Daten!$W359,1,IF(Daten!$V359=14,1,0))</f>
        <v>0</v>
      </c>
      <c r="M359" s="189">
        <f ca="1">IF(Daten!$V359&lt;&gt;Daten!$W359,1,IF(Daten!$V359=16,1,0))</f>
        <v>0</v>
      </c>
      <c r="N359" s="189">
        <f ca="1">IF(Daten!$W359=17,1,0)</f>
        <v>0</v>
      </c>
      <c r="O359" s="190">
        <f ca="1">IF(Daten!$X359=Sprache!$A$70,1,0)</f>
        <v>1</v>
      </c>
      <c r="P359" s="191">
        <f>IF(AND(Daten!$AQ359&lt;=KINVARO!$AW$3,Daten!$AR359&gt;=KINVARO!$AW$3)=TRUE,1,0)</f>
        <v>1</v>
      </c>
      <c r="Q359" s="191">
        <f>IF(AND(Daten!$AA359&lt;=KINVARO!$AW$4,Daten!$AB359&gt;=KINVARO!$AW$4)=TRUE,1,0)</f>
        <v>0</v>
      </c>
      <c r="R359" s="191"/>
      <c r="S359" s="191">
        <f>IF(AND(Daten!$AD359&lt;=Limits!$I$70,Daten!$AE359&gt;=Limits!$I$70)=TRUE,1,0)</f>
        <v>0</v>
      </c>
      <c r="T359" s="194">
        <f ca="1">IF(Daten!$Y359=Sprache!$A$135,1,0)</f>
        <v>1</v>
      </c>
      <c r="U359" s="187" t="str">
        <f ca="1">Sprache!$A$66</f>
        <v>T-71 Поворотный подъемник</v>
      </c>
      <c r="V359" s="194" t="str">
        <f ca="1">Sprache!$A$74</f>
        <v>var</v>
      </c>
      <c r="W359" s="193" t="str">
        <f ca="1">Sprache!$A$74</f>
        <v>var</v>
      </c>
      <c r="X359" s="187" t="str">
        <f ca="1">Sprache!$A$70</f>
        <v>соединение с древесиной</v>
      </c>
      <c r="Y359" s="187" t="str">
        <f ca="1">Sprache!$A$135</f>
        <v>ja</v>
      </c>
      <c r="Z359" s="187" t="str">
        <f ca="1">Sprache!$A$79</f>
        <v>Створка</v>
      </c>
      <c r="AA359" s="187">
        <v>450</v>
      </c>
      <c r="AB359" s="124">
        <v>499</v>
      </c>
      <c r="AC359" s="187"/>
      <c r="AD359" s="195">
        <v>2</v>
      </c>
      <c r="AE359" s="196">
        <v>5.8</v>
      </c>
      <c r="AF359" s="263" t="str">
        <f>MID(Tabelle2[[#This Row],[bnr full]],1,4)</f>
        <v>F151</v>
      </c>
      <c r="AG359" s="264" t="str">
        <f>MID(Tabelle2[[#This Row],[bnr full]],5,3)</f>
        <v>147</v>
      </c>
      <c r="AH359" s="265" t="str">
        <f>MID(Tabelle2[[#This Row],[bnr full]],8,3)</f>
        <v>811</v>
      </c>
      <c r="AI359" s="264" t="str">
        <f>MID(Tabelle2[[#This Row],[bnr full]],11,3)</f>
        <v>201</v>
      </c>
      <c r="AJ359" s="252" t="str">
        <f>MID(Tabelle2[[#This Row],[bnr full]],11,3)</f>
        <v>201</v>
      </c>
      <c r="AK359" s="197" t="s">
        <v>1661</v>
      </c>
      <c r="AL359" s="124" t="str">
        <f ca="1">Sprache!$A$111</f>
        <v>Комплект (Л + П)</v>
      </c>
      <c r="AM359" s="187" t="s">
        <v>25</v>
      </c>
      <c r="AN359" s="187" t="str">
        <f ca="1">Sprache!$A$128</f>
        <v>Пружина, оранжевая</v>
      </c>
      <c r="AO359" s="187" t="s">
        <v>25</v>
      </c>
      <c r="AP359" s="187" t="s">
        <v>25</v>
      </c>
      <c r="AQ359" s="187">
        <f>Limits!$K$9</f>
        <v>200</v>
      </c>
      <c r="AR359" s="124">
        <v>1200</v>
      </c>
      <c r="AS359" s="187"/>
      <c r="AT359" s="124"/>
      <c r="AU359"/>
      <c r="AV359"/>
      <c r="AY359"/>
      <c r="AZ359"/>
      <c r="BA359"/>
      <c r="BB359"/>
      <c r="BC359"/>
    </row>
    <row r="360" spans="1:55" hidden="1" x14ac:dyDescent="0.25">
      <c r="A360" s="12" t="str">
        <f ca="1">IF(F360+G360+H360+I360+J360+D360+E360=3,IF(Tabelle2[[#This Row],[Kappe Weiß]]=Limits!$R$29,1,""),"")</f>
        <v/>
      </c>
      <c r="B360" s="12" t="str">
        <f ca="1">IF(G360+H360+I360+J360+E360+F360=2,IF(Tabelle2[[#This Row],[Kappe Weiß]]=Limits!$R$29,1,""),"")</f>
        <v/>
      </c>
      <c r="C360" s="291">
        <v>1</v>
      </c>
      <c r="D360" s="171">
        <f>IF(Limits!$P$8=TRUE,1,0)</f>
        <v>0</v>
      </c>
      <c r="E360" s="172">
        <f>IF(Daten!$P360+Daten!$Q360+Daten!$S360=3,1,0)</f>
        <v>0</v>
      </c>
      <c r="F360" s="173">
        <f ca="1">IF(AND(Limits!$Q$21=TRUE,Daten!O360=1)=TRUE,1,0)</f>
        <v>0</v>
      </c>
      <c r="G360" s="174">
        <f>IF(AND(Limits!$Q$25=TRUE,Daten!N360=1)=TRUE,1,0)</f>
        <v>0</v>
      </c>
      <c r="H360" s="174">
        <f>IF(AND(Limits!$Q$24=TRUE,Daten!M360=1)=TRUE,1,0)</f>
        <v>0</v>
      </c>
      <c r="I360" s="174">
        <f>IF(AND(Limits!$Q$23=TRUE,Daten!L360=1)=TRUE,1,0)</f>
        <v>0</v>
      </c>
      <c r="J360" s="174">
        <f>IF(AND(Limits!$Q$22=TRUE,Daten!K360=1)=TRUE,1,0)</f>
        <v>0</v>
      </c>
      <c r="K360" s="188">
        <f>IF(Daten!$V360=13,1,0)</f>
        <v>1</v>
      </c>
      <c r="L360" s="189">
        <f>IF(Daten!$V360&lt;&gt;Daten!$W360,1,IF(Daten!$V360=14,1,0))</f>
        <v>1</v>
      </c>
      <c r="M360" s="189">
        <f>IF(Daten!$V360&lt;&gt;Daten!$W360,1,IF(Daten!$V360=16,1,0))</f>
        <v>1</v>
      </c>
      <c r="N360" s="189">
        <f>IF(Daten!$W360=17,1,0)</f>
        <v>1</v>
      </c>
      <c r="O360" s="190">
        <f ca="1">IF(Daten!$X360=Sprache!$A$70,1,0)</f>
        <v>0</v>
      </c>
      <c r="P360" s="191">
        <f>IF(AND(Daten!$AQ360&lt;=KINVARO!$AW$3,Daten!$AR360&gt;=KINVARO!$AW$3)=TRUE,1,0)</f>
        <v>1</v>
      </c>
      <c r="Q360" s="191">
        <f>IF(AND(Daten!$AA360&lt;=KINVARO!$AW$4,Daten!$AB360&gt;=KINVARO!$AW$4)=TRUE,1,0)</f>
        <v>0</v>
      </c>
      <c r="R360" s="191"/>
      <c r="S360" s="191">
        <f>IF(AND(Daten!$AD360&lt;=Limits!$I$70,Daten!$AE360&gt;=Limits!$I$70)=TRUE,1,0)</f>
        <v>0</v>
      </c>
      <c r="T360" s="194">
        <f ca="1">IF(Daten!$Y360=Sprache!$A$135,1,0)</f>
        <v>1</v>
      </c>
      <c r="U360" s="187" t="str">
        <f ca="1">Sprache!$A$66</f>
        <v>T-71 Поворотный подъемник</v>
      </c>
      <c r="V360" s="194">
        <v>13</v>
      </c>
      <c r="W360" s="193">
        <v>17</v>
      </c>
      <c r="X360" s="187" t="str">
        <f ca="1">Sprache!$A$142</f>
        <v>Alu (Rahmen 19mm)</v>
      </c>
      <c r="Y360" s="187" t="str">
        <f ca="1">Sprache!$A$135</f>
        <v>ja</v>
      </c>
      <c r="Z360" s="187" t="str">
        <f ca="1">Sprache!$A$79</f>
        <v>Створка</v>
      </c>
      <c r="AA360" s="187">
        <v>450</v>
      </c>
      <c r="AB360" s="124">
        <v>499</v>
      </c>
      <c r="AC360" s="187"/>
      <c r="AD360" s="195">
        <v>1.6</v>
      </c>
      <c r="AE360" s="196">
        <v>4.7</v>
      </c>
      <c r="AF360" s="263" t="str">
        <f>MID(Tabelle2[[#This Row],[bnr full]],1,4)</f>
        <v>F151</v>
      </c>
      <c r="AG360" s="264" t="str">
        <f>MID(Tabelle2[[#This Row],[bnr full]],5,3)</f>
        <v>147</v>
      </c>
      <c r="AH360" s="265" t="str">
        <f>MID(Tabelle2[[#This Row],[bnr full]],8,3)</f>
        <v>811</v>
      </c>
      <c r="AI360" s="264" t="str">
        <f>MID(Tabelle2[[#This Row],[bnr full]],11,3)</f>
        <v>201</v>
      </c>
      <c r="AJ360" s="252" t="str">
        <f>MID(Tabelle2[[#This Row],[bnr full]],11,3)</f>
        <v>201</v>
      </c>
      <c r="AK360" s="197" t="s">
        <v>1661</v>
      </c>
      <c r="AL360" s="124" t="str">
        <f ca="1">Sprache!$A$111</f>
        <v>Комплект (Л + П)</v>
      </c>
      <c r="AM360" s="187" t="s">
        <v>25</v>
      </c>
      <c r="AN360" s="187" t="str">
        <f ca="1">Sprache!$A$127</f>
        <v>Пружина, белая</v>
      </c>
      <c r="AO360" s="187" t="str">
        <f ca="1">Sprache!$A$146</f>
        <v>Адаптер под алюминиевые рамки к комплекту Kinvaro T-71</v>
      </c>
      <c r="AP360" s="225" t="s">
        <v>821</v>
      </c>
      <c r="AQ360" s="187">
        <f>Limits!$K$9</f>
        <v>200</v>
      </c>
      <c r="AR360" s="124">
        <v>1200</v>
      </c>
      <c r="AS360" s="187"/>
      <c r="AT360" s="124"/>
      <c r="AU360"/>
      <c r="AV360"/>
      <c r="AY360"/>
      <c r="AZ360"/>
      <c r="BA360"/>
      <c r="BB360"/>
      <c r="BC360"/>
    </row>
    <row r="361" spans="1:55" s="5" customFormat="1" hidden="1" x14ac:dyDescent="0.25">
      <c r="A361" s="12" t="str">
        <f ca="1">IF(F361+G361+H361+I361+J361+D361+E361=3,IF(Tabelle2[[#This Row],[Kappe Weiß]]=Limits!$R$29,1,""),"")</f>
        <v/>
      </c>
      <c r="B361" s="12" t="str">
        <f ca="1">IF(G361+H361+I361+J361+E361+F361=2,IF(Tabelle2[[#This Row],[Kappe Weiß]]=Limits!$R$29,1,""),"")</f>
        <v/>
      </c>
      <c r="C361" s="291">
        <v>1</v>
      </c>
      <c r="D361" s="171">
        <f>IF(Limits!$P$8=TRUE,1,0)</f>
        <v>0</v>
      </c>
      <c r="E361" s="172">
        <f>IF(Daten!$P361+Daten!$Q361+Daten!$S361=3,1,0)</f>
        <v>0</v>
      </c>
      <c r="F361" s="173">
        <f ca="1">IF(AND(Limits!$Q$21=TRUE,Daten!O361=1)=TRUE,1,0)</f>
        <v>0</v>
      </c>
      <c r="G361" s="174">
        <f>IF(AND(Limits!$Q$25=TRUE,Daten!N361=1)=TRUE,1,0)</f>
        <v>0</v>
      </c>
      <c r="H361" s="174">
        <f>IF(AND(Limits!$Q$24=TRUE,Daten!M361=1)=TRUE,1,0)</f>
        <v>0</v>
      </c>
      <c r="I361" s="174">
        <f>IF(AND(Limits!$Q$23=TRUE,Daten!L361=1)=TRUE,1,0)</f>
        <v>0</v>
      </c>
      <c r="J361" s="174">
        <f>IF(AND(Limits!$Q$22=TRUE,Daten!K361=1)=TRUE,1,0)</f>
        <v>0</v>
      </c>
      <c r="K361" s="188">
        <f>IF(Daten!$V361=13,1,0)</f>
        <v>1</v>
      </c>
      <c r="L361" s="189">
        <f>IF(Daten!$V361&lt;&gt;Daten!$W361,1,IF(Daten!$V361=14,1,0))</f>
        <v>1</v>
      </c>
      <c r="M361" s="189">
        <f>IF(Daten!$V361&lt;&gt;Daten!$W361,1,IF(Daten!$V361=16,1,0))</f>
        <v>1</v>
      </c>
      <c r="N361" s="189">
        <f>IF(Daten!$W361=17,1,0)</f>
        <v>1</v>
      </c>
      <c r="O361" s="190">
        <f ca="1">IF(Daten!$X361=Sprache!$A$70,1,0)</f>
        <v>0</v>
      </c>
      <c r="P361" s="191">
        <f>IF(AND(Daten!$AQ361&lt;=KINVARO!$AW$3,Daten!$AR361&gt;=KINVARO!$AW$3)=TRUE,1,0)</f>
        <v>1</v>
      </c>
      <c r="Q361" s="191">
        <f>IF(AND(Daten!$AA361&lt;=KINVARO!$AW$4,Daten!$AB361&gt;=KINVARO!$AW$4)=TRUE,1,0)</f>
        <v>0</v>
      </c>
      <c r="R361" s="191"/>
      <c r="S361" s="191">
        <f>IF(AND(Daten!$AD361&lt;=Limits!$I$70,Daten!$AE361&gt;=Limits!$I$70)=TRUE,1,0)</f>
        <v>0</v>
      </c>
      <c r="T361" s="194">
        <f ca="1">IF(Daten!$Y361=Sprache!$A$135,1,0)</f>
        <v>1</v>
      </c>
      <c r="U361" s="187" t="str">
        <f ca="1">Sprache!$A$66</f>
        <v>T-71 Поворотный подъемник</v>
      </c>
      <c r="V361" s="194">
        <v>13</v>
      </c>
      <c r="W361" s="193">
        <v>17</v>
      </c>
      <c r="X361" s="187" t="str">
        <f ca="1">Sprache!$A$142</f>
        <v>Alu (Rahmen 19mm)</v>
      </c>
      <c r="Y361" s="187" t="str">
        <f ca="1">Sprache!$A$135</f>
        <v>ja</v>
      </c>
      <c r="Z361" s="187" t="str">
        <f ca="1">Sprache!$A$79</f>
        <v>Створка</v>
      </c>
      <c r="AA361" s="187">
        <v>450</v>
      </c>
      <c r="AB361" s="124">
        <v>499</v>
      </c>
      <c r="AC361" s="187"/>
      <c r="AD361" s="195">
        <v>2</v>
      </c>
      <c r="AE361" s="196">
        <v>5.8</v>
      </c>
      <c r="AF361" s="263" t="str">
        <f>MID(Tabelle2[[#This Row],[bnr full]],1,4)</f>
        <v>F151</v>
      </c>
      <c r="AG361" s="264" t="str">
        <f>MID(Tabelle2[[#This Row],[bnr full]],5,3)</f>
        <v>147</v>
      </c>
      <c r="AH361" s="265" t="str">
        <f>MID(Tabelle2[[#This Row],[bnr full]],8,3)</f>
        <v>811</v>
      </c>
      <c r="AI361" s="264" t="str">
        <f>MID(Tabelle2[[#This Row],[bnr full]],11,3)</f>
        <v>201</v>
      </c>
      <c r="AJ361" s="252" t="str">
        <f>MID(Tabelle2[[#This Row],[bnr full]],11,3)</f>
        <v>201</v>
      </c>
      <c r="AK361" s="197" t="s">
        <v>1661</v>
      </c>
      <c r="AL361" s="124" t="str">
        <f ca="1">Sprache!$A$111</f>
        <v>Комплект (Л + П)</v>
      </c>
      <c r="AM361" s="187" t="s">
        <v>25</v>
      </c>
      <c r="AN361" s="187" t="str">
        <f ca="1">Sprache!$A$128</f>
        <v>Пружина, оранжевая</v>
      </c>
      <c r="AO361" s="187" t="str">
        <f ca="1">Sprache!$A$146</f>
        <v>Адаптер под алюминиевые рамки к комплекту Kinvaro T-71</v>
      </c>
      <c r="AP361" s="225" t="s">
        <v>821</v>
      </c>
      <c r="AQ361" s="187">
        <f>Limits!$K$9</f>
        <v>200</v>
      </c>
      <c r="AR361" s="124">
        <v>1200</v>
      </c>
      <c r="AS361" s="187"/>
      <c r="AT361" s="124"/>
    </row>
    <row r="362" spans="1:55" hidden="1" x14ac:dyDescent="0.25">
      <c r="A362" s="12" t="str">
        <f ca="1">IF(F362+G362+H362+I362+J362+D362+E362=3,IF(Tabelle2[[#This Row],[Kappe Weiß]]=Limits!$R$29,1,""),"")</f>
        <v/>
      </c>
      <c r="B362" s="12" t="str">
        <f ca="1">IF(G362+H362+I362+J362+E362+F362=2,IF(Tabelle2[[#This Row],[Kappe Weiß]]=Limits!$R$29,1,""),"")</f>
        <v/>
      </c>
      <c r="C362" s="292">
        <v>1</v>
      </c>
      <c r="D362" s="171">
        <f>IF(Limits!$P$8=TRUE,1,0)</f>
        <v>0</v>
      </c>
      <c r="E362" s="172">
        <f>IF(Daten!$P362+Daten!$Q362+Daten!$S362=3,1,0)</f>
        <v>0</v>
      </c>
      <c r="F362" s="173">
        <f ca="1">IF(AND(Limits!$Q$21=TRUE,Daten!O362=1)=TRUE,1,0)</f>
        <v>1</v>
      </c>
      <c r="G362" s="174">
        <f ca="1">IF(AND(Limits!$Q$25=TRUE,Daten!N362=1)=TRUE,1,0)</f>
        <v>0</v>
      </c>
      <c r="H362" s="174">
        <f ca="1">IF(AND(Limits!$Q$24=TRUE,Daten!M362=1)=TRUE,1,0)</f>
        <v>0</v>
      </c>
      <c r="I362" s="174">
        <f ca="1">IF(AND(Limits!$Q$23=TRUE,Daten!L362=1)=TRUE,1,0)</f>
        <v>0</v>
      </c>
      <c r="J362" s="174">
        <f ca="1">IF(AND(Limits!$Q$22=TRUE,Daten!K362=1)=TRUE,1,0)</f>
        <v>0</v>
      </c>
      <c r="K362" s="188">
        <f ca="1">IF(Daten!$V362=13,1,0)</f>
        <v>0</v>
      </c>
      <c r="L362" s="189">
        <f ca="1">IF(Daten!$V362&lt;&gt;Daten!$W362,1,IF(Daten!$V362=14,1,0))</f>
        <v>0</v>
      </c>
      <c r="M362" s="189">
        <f ca="1">IF(Daten!$V362&lt;&gt;Daten!$W362,1,IF(Daten!$V362=16,1,0))</f>
        <v>0</v>
      </c>
      <c r="N362" s="189">
        <f ca="1">IF(Daten!$W362=17,1,0)</f>
        <v>0</v>
      </c>
      <c r="O362" s="190">
        <f ca="1">IF(Daten!$X362=Sprache!$A$70,1,0)</f>
        <v>1</v>
      </c>
      <c r="P362" s="198">
        <f>IF(AND(Daten!$AQ362&lt;=KINVARO!$AW$3,Daten!$AR362&gt;=KINVARO!$AW$3)=TRUE,1,0)</f>
        <v>1</v>
      </c>
      <c r="Q362" s="198">
        <f>IF(AND(Daten!$AA362&lt;=KINVARO!$AW$4,Daten!$AB362&gt;=KINVARO!$AW$4)=TRUE,1,0)</f>
        <v>0</v>
      </c>
      <c r="R362" s="198"/>
      <c r="S362" s="198">
        <f>IF(AND(Daten!$AD362&lt;=Limits!$I$70,Daten!$AE362&gt;=Limits!$I$70)=TRUE,1,0)</f>
        <v>0</v>
      </c>
      <c r="T362" s="202">
        <f ca="1">IF(Daten!$Y362=Sprache!$A$135,1,0)</f>
        <v>1</v>
      </c>
      <c r="U362" s="203" t="str">
        <f ca="1">Sprache!$A$66</f>
        <v>T-71 Поворотный подъемник</v>
      </c>
      <c r="V362" s="202" t="str">
        <f ca="1">Sprache!$A$74</f>
        <v>var</v>
      </c>
      <c r="W362" s="200" t="str">
        <f ca="1">Sprache!$A$74</f>
        <v>var</v>
      </c>
      <c r="X362" s="203" t="str">
        <f ca="1">Sprache!$A$70</f>
        <v>соединение с древесиной</v>
      </c>
      <c r="Y362" s="203" t="str">
        <f ca="1">Sprache!$A$135</f>
        <v>ja</v>
      </c>
      <c r="Z362" s="203" t="str">
        <f ca="1">Sprache!$A$79</f>
        <v>Створка</v>
      </c>
      <c r="AA362" s="203">
        <v>500</v>
      </c>
      <c r="AB362" s="201">
        <v>549</v>
      </c>
      <c r="AC362" s="203"/>
      <c r="AD362" s="204">
        <v>1.5</v>
      </c>
      <c r="AE362" s="205">
        <v>4</v>
      </c>
      <c r="AF362" s="266" t="str">
        <f>MID(Tabelle2[[#This Row],[bnr full]],1,4)</f>
        <v>F151</v>
      </c>
      <c r="AG362" s="267" t="str">
        <f>MID(Tabelle2[[#This Row],[bnr full]],5,3)</f>
        <v>147</v>
      </c>
      <c r="AH362" s="268" t="str">
        <f>MID(Tabelle2[[#This Row],[bnr full]],8,3)</f>
        <v>811</v>
      </c>
      <c r="AI362" s="267" t="str">
        <f>MID(Tabelle2[[#This Row],[bnr full]],11,3)</f>
        <v>201</v>
      </c>
      <c r="AJ362" s="253" t="str">
        <f>MID(Tabelle2[[#This Row],[bnr full]],11,3)</f>
        <v>201</v>
      </c>
      <c r="AK362" s="206" t="s">
        <v>1661</v>
      </c>
      <c r="AL362" s="201" t="str">
        <f ca="1">Sprache!$A$111</f>
        <v>Комплект (Л + П)</v>
      </c>
      <c r="AM362" s="203" t="s">
        <v>25</v>
      </c>
      <c r="AN362" s="203" t="str">
        <f ca="1">Sprache!$A$127</f>
        <v>Пружина, белая</v>
      </c>
      <c r="AO362" s="203" t="s">
        <v>25</v>
      </c>
      <c r="AP362" s="203" t="s">
        <v>25</v>
      </c>
      <c r="AQ362" s="203">
        <f>Limits!$K$9</f>
        <v>200</v>
      </c>
      <c r="AR362" s="201">
        <v>1200</v>
      </c>
      <c r="AS362" s="187"/>
      <c r="AT362" s="124"/>
      <c r="AU362"/>
      <c r="AV362"/>
      <c r="AY362"/>
      <c r="AZ362"/>
      <c r="BA362"/>
      <c r="BB362"/>
      <c r="BC362"/>
    </row>
    <row r="363" spans="1:55" hidden="1" x14ac:dyDescent="0.25">
      <c r="A363" s="12" t="str">
        <f ca="1">IF(F363+G363+H363+I363+J363+D363+E363=3,IF(Tabelle2[[#This Row],[Kappe Weiß]]=Limits!$R$29,1,""),"")</f>
        <v/>
      </c>
      <c r="B363" s="12" t="str">
        <f ca="1">IF(G363+H363+I363+J363+E363+F363=2,IF(Tabelle2[[#This Row],[Kappe Weiß]]=Limits!$R$29,1,""),"")</f>
        <v/>
      </c>
      <c r="C363" s="291">
        <v>1</v>
      </c>
      <c r="D363" s="171">
        <f>IF(Limits!$P$8=TRUE,1,0)</f>
        <v>0</v>
      </c>
      <c r="E363" s="172">
        <f>IF(Daten!$P363+Daten!$Q363+Daten!$S363=3,1,0)</f>
        <v>0</v>
      </c>
      <c r="F363" s="173">
        <f ca="1">IF(AND(Limits!$Q$21=TRUE,Daten!O363=1)=TRUE,1,0)</f>
        <v>1</v>
      </c>
      <c r="G363" s="174">
        <f ca="1">IF(AND(Limits!$Q$25=TRUE,Daten!N363=1)=TRUE,1,0)</f>
        <v>0</v>
      </c>
      <c r="H363" s="174">
        <f ca="1">IF(AND(Limits!$Q$24=TRUE,Daten!M363=1)=TRUE,1,0)</f>
        <v>0</v>
      </c>
      <c r="I363" s="174">
        <f ca="1">IF(AND(Limits!$Q$23=TRUE,Daten!L363=1)=TRUE,1,0)</f>
        <v>0</v>
      </c>
      <c r="J363" s="174">
        <f ca="1">IF(AND(Limits!$Q$22=TRUE,Daten!K363=1)=TRUE,1,0)</f>
        <v>0</v>
      </c>
      <c r="K363" s="188">
        <f ca="1">IF(Daten!$V363=13,1,0)</f>
        <v>0</v>
      </c>
      <c r="L363" s="189">
        <f ca="1">IF(Daten!$V363&lt;&gt;Daten!$W363,1,IF(Daten!$V363=14,1,0))</f>
        <v>0</v>
      </c>
      <c r="M363" s="189">
        <f ca="1">IF(Daten!$V363&lt;&gt;Daten!$W363,1,IF(Daten!$V363=16,1,0))</f>
        <v>0</v>
      </c>
      <c r="N363" s="189">
        <f ca="1">IF(Daten!$W363=17,1,0)</f>
        <v>0</v>
      </c>
      <c r="O363" s="190">
        <f ca="1">IF(Daten!$X363=Sprache!$A$70,1,0)</f>
        <v>1</v>
      </c>
      <c r="P363" s="191">
        <f>IF(AND(Daten!$AQ363&lt;=KINVARO!$AW$3,Daten!$AR363&gt;=KINVARO!$AW$3)=TRUE,1,0)</f>
        <v>1</v>
      </c>
      <c r="Q363" s="191">
        <f>IF(AND(Daten!$AA363&lt;=KINVARO!$AW$4,Daten!$AB363&gt;=KINVARO!$AW$4)=TRUE,1,0)</f>
        <v>0</v>
      </c>
      <c r="R363" s="191"/>
      <c r="S363" s="191">
        <f>IF(AND(Daten!$AD363&lt;=Limits!$I$70,Daten!$AE363&gt;=Limits!$I$70)=TRUE,1,0)</f>
        <v>0</v>
      </c>
      <c r="T363" s="194">
        <f ca="1">IF(Daten!$Y363=Sprache!$A$135,1,0)</f>
        <v>1</v>
      </c>
      <c r="U363" s="187" t="str">
        <f ca="1">Sprache!$A$66</f>
        <v>T-71 Поворотный подъемник</v>
      </c>
      <c r="V363" s="194" t="str">
        <f ca="1">Sprache!$A$74</f>
        <v>var</v>
      </c>
      <c r="W363" s="193" t="str">
        <f ca="1">Sprache!$A$74</f>
        <v>var</v>
      </c>
      <c r="X363" s="187" t="str">
        <f ca="1">Sprache!$A$70</f>
        <v>соединение с древесиной</v>
      </c>
      <c r="Y363" s="187" t="str">
        <f ca="1">Sprache!$A$135</f>
        <v>ja</v>
      </c>
      <c r="Z363" s="187" t="str">
        <f ca="1">Sprache!$A$79</f>
        <v>Створка</v>
      </c>
      <c r="AA363" s="187">
        <v>500</v>
      </c>
      <c r="AB363" s="124">
        <v>549</v>
      </c>
      <c r="AC363" s="187"/>
      <c r="AD363" s="195">
        <v>1.8</v>
      </c>
      <c r="AE363" s="196">
        <v>5</v>
      </c>
      <c r="AF363" s="263" t="str">
        <f>MID(Tabelle2[[#This Row],[bnr full]],1,4)</f>
        <v>F151</v>
      </c>
      <c r="AG363" s="264" t="str">
        <f>MID(Tabelle2[[#This Row],[bnr full]],5,3)</f>
        <v>147</v>
      </c>
      <c r="AH363" s="265" t="str">
        <f>MID(Tabelle2[[#This Row],[bnr full]],8,3)</f>
        <v>811</v>
      </c>
      <c r="AI363" s="264" t="str">
        <f>MID(Tabelle2[[#This Row],[bnr full]],11,3)</f>
        <v>201</v>
      </c>
      <c r="AJ363" s="252" t="str">
        <f>MID(Tabelle2[[#This Row],[bnr full]],11,3)</f>
        <v>201</v>
      </c>
      <c r="AK363" s="197" t="s">
        <v>1661</v>
      </c>
      <c r="AL363" s="124" t="str">
        <f ca="1">Sprache!$A$111</f>
        <v>Комплект (Л + П)</v>
      </c>
      <c r="AM363" s="187" t="s">
        <v>25</v>
      </c>
      <c r="AN363" s="187" t="str">
        <f ca="1">Sprache!$A$128</f>
        <v>Пружина, оранжевая</v>
      </c>
      <c r="AO363" s="187" t="s">
        <v>25</v>
      </c>
      <c r="AP363" s="187" t="s">
        <v>25</v>
      </c>
      <c r="AQ363" s="187">
        <f>Limits!$K$9</f>
        <v>200</v>
      </c>
      <c r="AR363" s="124">
        <v>1200</v>
      </c>
      <c r="AS363" s="187"/>
      <c r="AT363" s="124"/>
      <c r="AU363"/>
      <c r="AV363"/>
      <c r="AY363"/>
      <c r="AZ363"/>
      <c r="BA363"/>
      <c r="BB363"/>
      <c r="BC363"/>
    </row>
    <row r="364" spans="1:55" hidden="1" x14ac:dyDescent="0.25">
      <c r="A364" s="12" t="str">
        <f ca="1">IF(F364+G364+H364+I364+J364+D364+E364=3,IF(Tabelle2[[#This Row],[Kappe Weiß]]=Limits!$R$29,1,""),"")</f>
        <v/>
      </c>
      <c r="B364" s="12" t="str">
        <f ca="1">IF(G364+H364+I364+J364+E364+F364=2,IF(Tabelle2[[#This Row],[Kappe Weiß]]=Limits!$R$29,1,""),"")</f>
        <v/>
      </c>
      <c r="C364" s="291">
        <v>1</v>
      </c>
      <c r="D364" s="171">
        <f>IF(Limits!$P$8=TRUE,1,0)</f>
        <v>0</v>
      </c>
      <c r="E364" s="172">
        <f>IF(Daten!$P364+Daten!$Q364+Daten!$S364=3,1,0)</f>
        <v>0</v>
      </c>
      <c r="F364" s="173">
        <f ca="1">IF(AND(Limits!$Q$21=TRUE,Daten!O364=1)=TRUE,1,0)</f>
        <v>0</v>
      </c>
      <c r="G364" s="174">
        <f>IF(AND(Limits!$Q$25=TRUE,Daten!N364=1)=TRUE,1,0)</f>
        <v>0</v>
      </c>
      <c r="H364" s="174">
        <f>IF(AND(Limits!$Q$24=TRUE,Daten!M364=1)=TRUE,1,0)</f>
        <v>0</v>
      </c>
      <c r="I364" s="174">
        <f>IF(AND(Limits!$Q$23=TRUE,Daten!L364=1)=TRUE,1,0)</f>
        <v>0</v>
      </c>
      <c r="J364" s="174">
        <f>IF(AND(Limits!$Q$22=TRUE,Daten!K364=1)=TRUE,1,0)</f>
        <v>0</v>
      </c>
      <c r="K364" s="188">
        <f>IF(Daten!$V364=13,1,0)</f>
        <v>1</v>
      </c>
      <c r="L364" s="189">
        <f>IF(Daten!$V364&lt;&gt;Daten!$W364,1,IF(Daten!$V364=14,1,0))</f>
        <v>1</v>
      </c>
      <c r="M364" s="189">
        <f>IF(Daten!$V364&lt;&gt;Daten!$W364,1,IF(Daten!$V364=16,1,0))</f>
        <v>1</v>
      </c>
      <c r="N364" s="189">
        <f>IF(Daten!$W364=17,1,0)</f>
        <v>1</v>
      </c>
      <c r="O364" s="190">
        <f ca="1">IF(Daten!$X364=Sprache!$A$70,1,0)</f>
        <v>0</v>
      </c>
      <c r="P364" s="191">
        <f>IF(AND(Daten!$AQ364&lt;=KINVARO!$AW$3,Daten!$AR364&gt;=KINVARO!$AW$3)=TRUE,1,0)</f>
        <v>1</v>
      </c>
      <c r="Q364" s="191">
        <f>IF(AND(Daten!$AA364&lt;=KINVARO!$AW$4,Daten!$AB364&gt;=KINVARO!$AW$4)=TRUE,1,0)</f>
        <v>0</v>
      </c>
      <c r="R364" s="191"/>
      <c r="S364" s="191">
        <f>IF(AND(Daten!$AD364&lt;=Limits!$I$70,Daten!$AE364&gt;=Limits!$I$70)=TRUE,1,0)</f>
        <v>0</v>
      </c>
      <c r="T364" s="194">
        <f ca="1">IF(Daten!$Y364=Sprache!$A$135,1,0)</f>
        <v>1</v>
      </c>
      <c r="U364" s="187" t="str">
        <f ca="1">Sprache!$A$66</f>
        <v>T-71 Поворотный подъемник</v>
      </c>
      <c r="V364" s="194">
        <v>13</v>
      </c>
      <c r="W364" s="193">
        <v>17</v>
      </c>
      <c r="X364" s="187" t="str">
        <f ca="1">Sprache!$A$142</f>
        <v>Alu (Rahmen 19mm)</v>
      </c>
      <c r="Y364" s="187" t="str">
        <f ca="1">Sprache!$A$135</f>
        <v>ja</v>
      </c>
      <c r="Z364" s="187" t="str">
        <f ca="1">Sprache!$A$79</f>
        <v>Створка</v>
      </c>
      <c r="AA364" s="187">
        <v>500</v>
      </c>
      <c r="AB364" s="124">
        <v>549</v>
      </c>
      <c r="AC364" s="187"/>
      <c r="AD364" s="195">
        <v>1.5</v>
      </c>
      <c r="AE364" s="196">
        <v>4</v>
      </c>
      <c r="AF364" s="263" t="str">
        <f>MID(Tabelle2[[#This Row],[bnr full]],1,4)</f>
        <v>F151</v>
      </c>
      <c r="AG364" s="264" t="str">
        <f>MID(Tabelle2[[#This Row],[bnr full]],5,3)</f>
        <v>147</v>
      </c>
      <c r="AH364" s="265" t="str">
        <f>MID(Tabelle2[[#This Row],[bnr full]],8,3)</f>
        <v>811</v>
      </c>
      <c r="AI364" s="264" t="str">
        <f>MID(Tabelle2[[#This Row],[bnr full]],11,3)</f>
        <v>201</v>
      </c>
      <c r="AJ364" s="252" t="str">
        <f>MID(Tabelle2[[#This Row],[bnr full]],11,3)</f>
        <v>201</v>
      </c>
      <c r="AK364" s="197" t="s">
        <v>1661</v>
      </c>
      <c r="AL364" s="124" t="str">
        <f ca="1">Sprache!$A$111</f>
        <v>Комплект (Л + П)</v>
      </c>
      <c r="AM364" s="187" t="s">
        <v>25</v>
      </c>
      <c r="AN364" s="187" t="str">
        <f ca="1">Sprache!$A$127</f>
        <v>Пружина, белая</v>
      </c>
      <c r="AO364" s="187" t="str">
        <f ca="1">Sprache!$A$146</f>
        <v>Адаптер под алюминиевые рамки к комплекту Kinvaro T-71</v>
      </c>
      <c r="AP364" s="225" t="s">
        <v>821</v>
      </c>
      <c r="AQ364" s="187">
        <f>Limits!$K$9</f>
        <v>200</v>
      </c>
      <c r="AR364" s="124">
        <v>1200</v>
      </c>
      <c r="AS364" s="187"/>
      <c r="AT364" s="124"/>
      <c r="AU364"/>
      <c r="AV364"/>
      <c r="AY364"/>
      <c r="AZ364"/>
      <c r="BA364"/>
      <c r="BB364"/>
      <c r="BC364"/>
    </row>
    <row r="365" spans="1:55" hidden="1" x14ac:dyDescent="0.25">
      <c r="A365" s="12" t="str">
        <f ca="1">IF(F365+G365+H365+I365+J365+D365+E365=3,IF(Tabelle2[[#This Row],[Kappe Weiß]]=Limits!$R$29,1,""),"")</f>
        <v/>
      </c>
      <c r="B365" s="12" t="str">
        <f ca="1">IF(G365+H365+I365+J365+E365+F365=2,IF(Tabelle2[[#This Row],[Kappe Weiß]]=Limits!$R$29,1,""),"")</f>
        <v/>
      </c>
      <c r="C365" s="291">
        <v>1</v>
      </c>
      <c r="D365" s="171">
        <f>IF(Limits!$P$8=TRUE,1,0)</f>
        <v>0</v>
      </c>
      <c r="E365" s="172">
        <f>IF(Daten!$P365+Daten!$Q365+Daten!$S365=3,1,0)</f>
        <v>0</v>
      </c>
      <c r="F365" s="173">
        <f ca="1">IF(AND(Limits!$Q$21=TRUE,Daten!O365=1)=TRUE,1,0)</f>
        <v>0</v>
      </c>
      <c r="G365" s="174">
        <f>IF(AND(Limits!$Q$25=TRUE,Daten!N365=1)=TRUE,1,0)</f>
        <v>0</v>
      </c>
      <c r="H365" s="174">
        <f>IF(AND(Limits!$Q$24=TRUE,Daten!M365=1)=TRUE,1,0)</f>
        <v>0</v>
      </c>
      <c r="I365" s="174">
        <f>IF(AND(Limits!$Q$23=TRUE,Daten!L365=1)=TRUE,1,0)</f>
        <v>0</v>
      </c>
      <c r="J365" s="174">
        <f>IF(AND(Limits!$Q$22=TRUE,Daten!K365=1)=TRUE,1,0)</f>
        <v>0</v>
      </c>
      <c r="K365" s="188">
        <f>IF(Daten!$V365=13,1,0)</f>
        <v>1</v>
      </c>
      <c r="L365" s="189">
        <f>IF(Daten!$V365&lt;&gt;Daten!$W365,1,IF(Daten!$V365=14,1,0))</f>
        <v>1</v>
      </c>
      <c r="M365" s="189">
        <f>IF(Daten!$V365&lt;&gt;Daten!$W365,1,IF(Daten!$V365=16,1,0))</f>
        <v>1</v>
      </c>
      <c r="N365" s="189">
        <f>IF(Daten!$W365=17,1,0)</f>
        <v>1</v>
      </c>
      <c r="O365" s="190">
        <f ca="1">IF(Daten!$X365=Sprache!$A$70,1,0)</f>
        <v>0</v>
      </c>
      <c r="P365" s="191">
        <f>IF(AND(Daten!$AQ365&lt;=KINVARO!$AW$3,Daten!$AR365&gt;=KINVARO!$AW$3)=TRUE,1,0)</f>
        <v>1</v>
      </c>
      <c r="Q365" s="191">
        <f>IF(AND(Daten!$AA365&lt;=KINVARO!$AW$4,Daten!$AB365&gt;=KINVARO!$AW$4)=TRUE,1,0)</f>
        <v>0</v>
      </c>
      <c r="R365" s="191"/>
      <c r="S365" s="191">
        <f>IF(AND(Daten!$AD365&lt;=Limits!$I$70,Daten!$AE365&gt;=Limits!$I$70)=TRUE,1,0)</f>
        <v>0</v>
      </c>
      <c r="T365" s="194">
        <f ca="1">IF(Daten!$Y365=Sprache!$A$135,1,0)</f>
        <v>1</v>
      </c>
      <c r="U365" s="187" t="str">
        <f ca="1">Sprache!$A$66</f>
        <v>T-71 Поворотный подъемник</v>
      </c>
      <c r="V365" s="194">
        <v>13</v>
      </c>
      <c r="W365" s="193">
        <v>17</v>
      </c>
      <c r="X365" s="187" t="str">
        <f ca="1">Sprache!$A$142</f>
        <v>Alu (Rahmen 19mm)</v>
      </c>
      <c r="Y365" s="187" t="str">
        <f ca="1">Sprache!$A$135</f>
        <v>ja</v>
      </c>
      <c r="Z365" s="187" t="str">
        <f ca="1">Sprache!$A$79</f>
        <v>Створка</v>
      </c>
      <c r="AA365" s="187">
        <v>500</v>
      </c>
      <c r="AB365" s="124">
        <v>549</v>
      </c>
      <c r="AC365" s="187"/>
      <c r="AD365" s="195">
        <v>1.8</v>
      </c>
      <c r="AE365" s="196">
        <v>5</v>
      </c>
      <c r="AF365" s="263" t="str">
        <f>MID(Tabelle2[[#This Row],[bnr full]],1,4)</f>
        <v>F151</v>
      </c>
      <c r="AG365" s="264" t="str">
        <f>MID(Tabelle2[[#This Row],[bnr full]],5,3)</f>
        <v>147</v>
      </c>
      <c r="AH365" s="265" t="str">
        <f>MID(Tabelle2[[#This Row],[bnr full]],8,3)</f>
        <v>811</v>
      </c>
      <c r="AI365" s="264" t="str">
        <f>MID(Tabelle2[[#This Row],[bnr full]],11,3)</f>
        <v>201</v>
      </c>
      <c r="AJ365" s="252" t="str">
        <f>MID(Tabelle2[[#This Row],[bnr full]],11,3)</f>
        <v>201</v>
      </c>
      <c r="AK365" s="197" t="s">
        <v>1661</v>
      </c>
      <c r="AL365" s="124" t="str">
        <f ca="1">Sprache!$A$111</f>
        <v>Комплект (Л + П)</v>
      </c>
      <c r="AM365" s="187" t="s">
        <v>25</v>
      </c>
      <c r="AN365" s="187" t="str">
        <f ca="1">Sprache!$A$128</f>
        <v>Пружина, оранжевая</v>
      </c>
      <c r="AO365" s="187" t="str">
        <f ca="1">Sprache!$A$146</f>
        <v>Адаптер под алюминиевые рамки к комплекту Kinvaro T-71</v>
      </c>
      <c r="AP365" s="225" t="s">
        <v>821</v>
      </c>
      <c r="AQ365" s="187">
        <f>Limits!$K$9</f>
        <v>200</v>
      </c>
      <c r="AR365" s="124">
        <v>1200</v>
      </c>
      <c r="AS365" s="187"/>
      <c r="AT365" s="124"/>
      <c r="AU365"/>
      <c r="AV365"/>
      <c r="AY365"/>
      <c r="AZ365"/>
      <c r="BA365"/>
      <c r="BB365"/>
      <c r="BC365"/>
    </row>
    <row r="366" spans="1:55" hidden="1" x14ac:dyDescent="0.25">
      <c r="A366" s="12" t="str">
        <f ca="1">IF(F366+G366+H366+I366+J366+D366+E366=3,IF(Tabelle2[[#This Row],[Kappe Weiß]]=Limits!$R$29,1,""),"")</f>
        <v/>
      </c>
      <c r="B366" s="12" t="str">
        <f ca="1">IF(G366+H366+I366+J366+E366+F366=2,IF(Tabelle2[[#This Row],[Kappe Weiß]]=Limits!$R$29,1,""),"")</f>
        <v/>
      </c>
      <c r="C366" s="292">
        <v>1</v>
      </c>
      <c r="D366" s="171">
        <f>IF(Limits!$P$8=TRUE,1,0)</f>
        <v>0</v>
      </c>
      <c r="E366" s="172">
        <f>IF(Daten!$P366+Daten!$Q366+Daten!$S366=3,1,0)</f>
        <v>0</v>
      </c>
      <c r="F366" s="173">
        <f ca="1">IF(AND(Limits!$Q$21=TRUE,Daten!O366=1)=TRUE,1,0)</f>
        <v>1</v>
      </c>
      <c r="G366" s="174">
        <f ca="1">IF(AND(Limits!$Q$25=TRUE,Daten!N366=1)=TRUE,1,0)</f>
        <v>0</v>
      </c>
      <c r="H366" s="174">
        <f ca="1">IF(AND(Limits!$Q$24=TRUE,Daten!M366=1)=TRUE,1,0)</f>
        <v>0</v>
      </c>
      <c r="I366" s="174">
        <f ca="1">IF(AND(Limits!$Q$23=TRUE,Daten!L366=1)=TRUE,1,0)</f>
        <v>0</v>
      </c>
      <c r="J366" s="174">
        <f ca="1">IF(AND(Limits!$Q$22=TRUE,Daten!K366=1)=TRUE,1,0)</f>
        <v>0</v>
      </c>
      <c r="K366" s="188">
        <f ca="1">IF(Daten!$V366=13,1,0)</f>
        <v>0</v>
      </c>
      <c r="L366" s="189">
        <f ca="1">IF(Daten!$V366&lt;&gt;Daten!$W366,1,IF(Daten!$V366=14,1,0))</f>
        <v>0</v>
      </c>
      <c r="M366" s="189">
        <f ca="1">IF(Daten!$V366&lt;&gt;Daten!$W366,1,IF(Daten!$V366=16,1,0))</f>
        <v>0</v>
      </c>
      <c r="N366" s="189">
        <f ca="1">IF(Daten!$W366=17,1,0)</f>
        <v>0</v>
      </c>
      <c r="O366" s="190">
        <f ca="1">IF(Daten!$X366=Sprache!$A$70,1,0)</f>
        <v>1</v>
      </c>
      <c r="P366" s="198">
        <f>IF(AND(Daten!$AQ366&lt;=KINVARO!$AW$3,Daten!$AR366&gt;=KINVARO!$AW$3)=TRUE,1,0)</f>
        <v>1</v>
      </c>
      <c r="Q366" s="198">
        <f>IF(AND(Daten!$AA366&lt;=KINVARO!$AW$4,Daten!$AB366&gt;=KINVARO!$AW$4)=TRUE,1,0)</f>
        <v>0</v>
      </c>
      <c r="R366" s="198"/>
      <c r="S366" s="198">
        <f>IF(AND(Daten!$AD366&lt;=Limits!$I$70,Daten!$AE366&gt;=Limits!$I$70)=TRUE,1,0)</f>
        <v>0</v>
      </c>
      <c r="T366" s="202">
        <f ca="1">IF(Daten!$Y366=Sprache!$A$135,1,0)</f>
        <v>1</v>
      </c>
      <c r="U366" s="203" t="str">
        <f ca="1">Sprache!$A$66</f>
        <v>T-71 Поворотный подъемник</v>
      </c>
      <c r="V366" s="202" t="str">
        <f ca="1">Sprache!$A$74</f>
        <v>var</v>
      </c>
      <c r="W366" s="200" t="str">
        <f ca="1">Sprache!$A$74</f>
        <v>var</v>
      </c>
      <c r="X366" s="203" t="str">
        <f ca="1">Sprache!$A$70</f>
        <v>соединение с древесиной</v>
      </c>
      <c r="Y366" s="203" t="str">
        <f ca="1">Sprache!$A$135</f>
        <v>ja</v>
      </c>
      <c r="Z366" s="203" t="str">
        <f ca="1">Sprache!$A$79</f>
        <v>Створка</v>
      </c>
      <c r="AA366" s="203">
        <v>550</v>
      </c>
      <c r="AB366" s="201">
        <v>599</v>
      </c>
      <c r="AC366" s="203"/>
      <c r="AD366" s="204">
        <v>1.4</v>
      </c>
      <c r="AE366" s="205">
        <v>3.7</v>
      </c>
      <c r="AF366" s="266" t="str">
        <f>MID(Tabelle2[[#This Row],[bnr full]],1,4)</f>
        <v>F151</v>
      </c>
      <c r="AG366" s="267" t="str">
        <f>MID(Tabelle2[[#This Row],[bnr full]],5,3)</f>
        <v>147</v>
      </c>
      <c r="AH366" s="268" t="str">
        <f>MID(Tabelle2[[#This Row],[bnr full]],8,3)</f>
        <v>811</v>
      </c>
      <c r="AI366" s="267" t="str">
        <f>MID(Tabelle2[[#This Row],[bnr full]],11,3)</f>
        <v>201</v>
      </c>
      <c r="AJ366" s="253" t="str">
        <f>MID(Tabelle2[[#This Row],[bnr full]],11,3)</f>
        <v>201</v>
      </c>
      <c r="AK366" s="206" t="s">
        <v>1661</v>
      </c>
      <c r="AL366" s="201" t="str">
        <f ca="1">Sprache!$A$111</f>
        <v>Комплект (Л + П)</v>
      </c>
      <c r="AM366" s="203" t="s">
        <v>25</v>
      </c>
      <c r="AN366" s="203" t="str">
        <f ca="1">Sprache!$A$127</f>
        <v>Пружина, белая</v>
      </c>
      <c r="AO366" s="203" t="s">
        <v>25</v>
      </c>
      <c r="AP366" s="203" t="s">
        <v>25</v>
      </c>
      <c r="AQ366" s="203">
        <f>Limits!$K$9</f>
        <v>200</v>
      </c>
      <c r="AR366" s="201">
        <v>1200</v>
      </c>
      <c r="AS366" s="187"/>
      <c r="AT366" s="124"/>
      <c r="AU366"/>
      <c r="AV366"/>
      <c r="AY366"/>
      <c r="AZ366"/>
      <c r="BA366"/>
      <c r="BB366"/>
      <c r="BC366"/>
    </row>
    <row r="367" spans="1:55" hidden="1" x14ac:dyDescent="0.25">
      <c r="A367" s="12" t="str">
        <f ca="1">IF(F367+G367+H367+I367+J367+D367+E367=3,IF(Tabelle2[[#This Row],[Kappe Weiß]]=Limits!$R$29,1,""),"")</f>
        <v/>
      </c>
      <c r="B367" s="12" t="str">
        <f ca="1">IF(G367+H367+I367+J367+E367+F367=2,IF(Tabelle2[[#This Row],[Kappe Weiß]]=Limits!$R$29,1,""),"")</f>
        <v/>
      </c>
      <c r="C367" s="291">
        <v>1</v>
      </c>
      <c r="D367" s="171">
        <f>IF(Limits!$P$8=TRUE,1,0)</f>
        <v>0</v>
      </c>
      <c r="E367" s="172">
        <f>IF(Daten!$P367+Daten!$Q367+Daten!$S367=3,1,0)</f>
        <v>0</v>
      </c>
      <c r="F367" s="173">
        <f ca="1">IF(AND(Limits!$Q$21=TRUE,Daten!O367=1)=TRUE,1,0)</f>
        <v>1</v>
      </c>
      <c r="G367" s="174">
        <f ca="1">IF(AND(Limits!$Q$25=TRUE,Daten!N367=1)=TRUE,1,0)</f>
        <v>0</v>
      </c>
      <c r="H367" s="174">
        <f ca="1">IF(AND(Limits!$Q$24=TRUE,Daten!M367=1)=TRUE,1,0)</f>
        <v>0</v>
      </c>
      <c r="I367" s="174">
        <f ca="1">IF(AND(Limits!$Q$23=TRUE,Daten!L367=1)=TRUE,1,0)</f>
        <v>0</v>
      </c>
      <c r="J367" s="174">
        <f ca="1">IF(AND(Limits!$Q$22=TRUE,Daten!K367=1)=TRUE,1,0)</f>
        <v>0</v>
      </c>
      <c r="K367" s="188">
        <f ca="1">IF(Daten!$V367=13,1,0)</f>
        <v>0</v>
      </c>
      <c r="L367" s="189">
        <f ca="1">IF(Daten!$V367&lt;&gt;Daten!$W367,1,IF(Daten!$V367=14,1,0))</f>
        <v>0</v>
      </c>
      <c r="M367" s="189">
        <f ca="1">IF(Daten!$V367&lt;&gt;Daten!$W367,1,IF(Daten!$V367=16,1,0))</f>
        <v>0</v>
      </c>
      <c r="N367" s="189">
        <f ca="1">IF(Daten!$W367=17,1,0)</f>
        <v>0</v>
      </c>
      <c r="O367" s="190">
        <f ca="1">IF(Daten!$X367=Sprache!$A$70,1,0)</f>
        <v>1</v>
      </c>
      <c r="P367" s="191">
        <f>IF(AND(Daten!$AQ367&lt;=KINVARO!$AW$3,Daten!$AR367&gt;=KINVARO!$AW$3)=TRUE,1,0)</f>
        <v>1</v>
      </c>
      <c r="Q367" s="191">
        <f>IF(AND(Daten!$AA367&lt;=KINVARO!$AW$4,Daten!$AB367&gt;=KINVARO!$AW$4)=TRUE,1,0)</f>
        <v>0</v>
      </c>
      <c r="R367" s="191"/>
      <c r="S367" s="191">
        <f>IF(AND(Daten!$AD367&lt;=Limits!$I$70,Daten!$AE367&gt;=Limits!$I$70)=TRUE,1,0)</f>
        <v>0</v>
      </c>
      <c r="T367" s="194">
        <f ca="1">IF(Daten!$Y367=Sprache!$A$135,1,0)</f>
        <v>1</v>
      </c>
      <c r="U367" s="187" t="str">
        <f ca="1">Sprache!$A$66</f>
        <v>T-71 Поворотный подъемник</v>
      </c>
      <c r="V367" s="194" t="str">
        <f ca="1">Sprache!$A$74</f>
        <v>var</v>
      </c>
      <c r="W367" s="193" t="str">
        <f ca="1">Sprache!$A$74</f>
        <v>var</v>
      </c>
      <c r="X367" s="187" t="str">
        <f ca="1">Sprache!$A$70</f>
        <v>соединение с древесиной</v>
      </c>
      <c r="Y367" s="187" t="str">
        <f ca="1">Sprache!$A$135</f>
        <v>ja</v>
      </c>
      <c r="Z367" s="187" t="str">
        <f ca="1">Sprache!$A$79</f>
        <v>Створка</v>
      </c>
      <c r="AA367" s="187">
        <v>550</v>
      </c>
      <c r="AB367" s="124">
        <v>599</v>
      </c>
      <c r="AC367" s="187"/>
      <c r="AD367" s="195">
        <v>1.6</v>
      </c>
      <c r="AE367" s="196">
        <v>4.5999999999999996</v>
      </c>
      <c r="AF367" s="263" t="str">
        <f>MID(Tabelle2[[#This Row],[bnr full]],1,4)</f>
        <v>F151</v>
      </c>
      <c r="AG367" s="264" t="str">
        <f>MID(Tabelle2[[#This Row],[bnr full]],5,3)</f>
        <v>147</v>
      </c>
      <c r="AH367" s="265" t="str">
        <f>MID(Tabelle2[[#This Row],[bnr full]],8,3)</f>
        <v>811</v>
      </c>
      <c r="AI367" s="264" t="str">
        <f>MID(Tabelle2[[#This Row],[bnr full]],11,3)</f>
        <v>201</v>
      </c>
      <c r="AJ367" s="252" t="str">
        <f>MID(Tabelle2[[#This Row],[bnr full]],11,3)</f>
        <v>201</v>
      </c>
      <c r="AK367" s="197" t="s">
        <v>1661</v>
      </c>
      <c r="AL367" s="124" t="str">
        <f ca="1">Sprache!$A$111</f>
        <v>Комплект (Л + П)</v>
      </c>
      <c r="AM367" s="187" t="s">
        <v>25</v>
      </c>
      <c r="AN367" s="187" t="str">
        <f ca="1">Sprache!$A$128</f>
        <v>Пружина, оранжевая</v>
      </c>
      <c r="AO367" s="187" t="s">
        <v>25</v>
      </c>
      <c r="AP367" s="187" t="s">
        <v>25</v>
      </c>
      <c r="AQ367" s="187">
        <f>Limits!$K$9</f>
        <v>200</v>
      </c>
      <c r="AR367" s="124">
        <v>1200</v>
      </c>
      <c r="AS367" s="187"/>
      <c r="AT367" s="124"/>
      <c r="AU367"/>
      <c r="AV367"/>
      <c r="AY367"/>
      <c r="AZ367"/>
      <c r="BA367"/>
      <c r="BB367"/>
      <c r="BC367"/>
    </row>
    <row r="368" spans="1:55" hidden="1" x14ac:dyDescent="0.25">
      <c r="A368" s="12" t="str">
        <f ca="1">IF(F368+G368+H368+I368+J368+D368+E368=3,IF(Tabelle2[[#This Row],[Kappe Weiß]]=Limits!$R$29,1,""),"")</f>
        <v/>
      </c>
      <c r="B368" s="12" t="str">
        <f ca="1">IF(G368+H368+I368+J368+E368+F368=2,IF(Tabelle2[[#This Row],[Kappe Weiß]]=Limits!$R$29,1,""),"")</f>
        <v/>
      </c>
      <c r="C368" s="291">
        <v>1</v>
      </c>
      <c r="D368" s="171">
        <f>IF(Limits!$P$8=TRUE,1,0)</f>
        <v>0</v>
      </c>
      <c r="E368" s="172">
        <f>IF(Daten!$P368+Daten!$Q368+Daten!$S368=3,1,0)</f>
        <v>0</v>
      </c>
      <c r="F368" s="173">
        <f ca="1">IF(AND(Limits!$Q$21=TRUE,Daten!O368=1)=TRUE,1,0)</f>
        <v>0</v>
      </c>
      <c r="G368" s="174">
        <f>IF(AND(Limits!$Q$25=TRUE,Daten!N368=1)=TRUE,1,0)</f>
        <v>0</v>
      </c>
      <c r="H368" s="174">
        <f>IF(AND(Limits!$Q$24=TRUE,Daten!M368=1)=TRUE,1,0)</f>
        <v>0</v>
      </c>
      <c r="I368" s="174">
        <f>IF(AND(Limits!$Q$23=TRUE,Daten!L368=1)=TRUE,1,0)</f>
        <v>0</v>
      </c>
      <c r="J368" s="174">
        <f>IF(AND(Limits!$Q$22=TRUE,Daten!K368=1)=TRUE,1,0)</f>
        <v>0</v>
      </c>
      <c r="K368" s="188">
        <f>IF(Daten!$V368=13,1,0)</f>
        <v>1</v>
      </c>
      <c r="L368" s="189">
        <f>IF(Daten!$V368&lt;&gt;Daten!$W368,1,IF(Daten!$V368=14,1,0))</f>
        <v>1</v>
      </c>
      <c r="M368" s="189">
        <f>IF(Daten!$V368&lt;&gt;Daten!$W368,1,IF(Daten!$V368=16,1,0))</f>
        <v>1</v>
      </c>
      <c r="N368" s="189">
        <f>IF(Daten!$W368=17,1,0)</f>
        <v>1</v>
      </c>
      <c r="O368" s="190">
        <f ca="1">IF(Daten!$X368=Sprache!$A$70,1,0)</f>
        <v>0</v>
      </c>
      <c r="P368" s="191">
        <f>IF(AND(Daten!$AQ368&lt;=KINVARO!$AW$3,Daten!$AR368&gt;=KINVARO!$AW$3)=TRUE,1,0)</f>
        <v>1</v>
      </c>
      <c r="Q368" s="191">
        <f>IF(AND(Daten!$AA368&lt;=KINVARO!$AW$4,Daten!$AB368&gt;=KINVARO!$AW$4)=TRUE,1,0)</f>
        <v>0</v>
      </c>
      <c r="R368" s="191"/>
      <c r="S368" s="191">
        <f>IF(AND(Daten!$AD368&lt;=Limits!$I$70,Daten!$AE368&gt;=Limits!$I$70)=TRUE,1,0)</f>
        <v>0</v>
      </c>
      <c r="T368" s="194">
        <f ca="1">IF(Daten!$Y368=Sprache!$A$135,1,0)</f>
        <v>1</v>
      </c>
      <c r="U368" s="187" t="str">
        <f ca="1">Sprache!$A$66</f>
        <v>T-71 Поворотный подъемник</v>
      </c>
      <c r="V368" s="194">
        <v>13</v>
      </c>
      <c r="W368" s="193">
        <v>17</v>
      </c>
      <c r="X368" s="187" t="str">
        <f ca="1">Sprache!$A$142</f>
        <v>Alu (Rahmen 19mm)</v>
      </c>
      <c r="Y368" s="187" t="str">
        <f ca="1">Sprache!$A$135</f>
        <v>ja</v>
      </c>
      <c r="Z368" s="187" t="str">
        <f ca="1">Sprache!$A$79</f>
        <v>Створка</v>
      </c>
      <c r="AA368" s="187">
        <v>550</v>
      </c>
      <c r="AB368" s="124">
        <v>599</v>
      </c>
      <c r="AC368" s="187"/>
      <c r="AD368" s="195">
        <v>1.4</v>
      </c>
      <c r="AE368" s="196">
        <v>3.7</v>
      </c>
      <c r="AF368" s="263" t="str">
        <f>MID(Tabelle2[[#This Row],[bnr full]],1,4)</f>
        <v>F151</v>
      </c>
      <c r="AG368" s="264" t="str">
        <f>MID(Tabelle2[[#This Row],[bnr full]],5,3)</f>
        <v>147</v>
      </c>
      <c r="AH368" s="265" t="str">
        <f>MID(Tabelle2[[#This Row],[bnr full]],8,3)</f>
        <v>811</v>
      </c>
      <c r="AI368" s="264" t="str">
        <f>MID(Tabelle2[[#This Row],[bnr full]],11,3)</f>
        <v>201</v>
      </c>
      <c r="AJ368" s="252" t="str">
        <f>MID(Tabelle2[[#This Row],[bnr full]],11,3)</f>
        <v>201</v>
      </c>
      <c r="AK368" s="197" t="s">
        <v>1661</v>
      </c>
      <c r="AL368" s="124" t="str">
        <f ca="1">Sprache!$A$111</f>
        <v>Комплект (Л + П)</v>
      </c>
      <c r="AM368" s="187" t="s">
        <v>25</v>
      </c>
      <c r="AN368" s="187" t="str">
        <f ca="1">Sprache!$A$127</f>
        <v>Пружина, белая</v>
      </c>
      <c r="AO368" s="187" t="str">
        <f ca="1">Sprache!$A$146</f>
        <v>Адаптер под алюминиевые рамки к комплекту Kinvaro T-71</v>
      </c>
      <c r="AP368" s="225" t="s">
        <v>821</v>
      </c>
      <c r="AQ368" s="187">
        <f>Limits!$K$9</f>
        <v>200</v>
      </c>
      <c r="AR368" s="124">
        <v>1200</v>
      </c>
      <c r="AS368" s="187"/>
      <c r="AT368" s="124"/>
      <c r="AU368"/>
      <c r="AV368"/>
      <c r="AY368"/>
      <c r="AZ368"/>
      <c r="BA368"/>
      <c r="BB368"/>
      <c r="BC368"/>
    </row>
    <row r="369" spans="1:55" s="5" customFormat="1" hidden="1" x14ac:dyDescent="0.25">
      <c r="A369" s="12" t="str">
        <f ca="1">IF(F369+G369+H369+I369+J369+D369+E369=3,IF(Tabelle2[[#This Row],[Kappe Weiß]]=Limits!$R$29,1,""),"")</f>
        <v/>
      </c>
      <c r="B369" s="12" t="str">
        <f ca="1">IF(G369+H369+I369+J369+E369+F369=2,IF(Tabelle2[[#This Row],[Kappe Weiß]]=Limits!$R$29,1,""),"")</f>
        <v/>
      </c>
      <c r="C369" s="291">
        <v>1</v>
      </c>
      <c r="D369" s="171">
        <f>IF(Limits!$P$8=TRUE,1,0)</f>
        <v>0</v>
      </c>
      <c r="E369" s="172">
        <f>IF(Daten!$P369+Daten!$Q369+Daten!$S369=3,1,0)</f>
        <v>0</v>
      </c>
      <c r="F369" s="173">
        <f ca="1">IF(AND(Limits!$Q$21=TRUE,Daten!O369=1)=TRUE,1,0)</f>
        <v>0</v>
      </c>
      <c r="G369" s="174">
        <f>IF(AND(Limits!$Q$25=TRUE,Daten!N369=1)=TRUE,1,0)</f>
        <v>0</v>
      </c>
      <c r="H369" s="174">
        <f>IF(AND(Limits!$Q$24=TRUE,Daten!M369=1)=TRUE,1,0)</f>
        <v>0</v>
      </c>
      <c r="I369" s="174">
        <f>IF(AND(Limits!$Q$23=TRUE,Daten!L369=1)=TRUE,1,0)</f>
        <v>0</v>
      </c>
      <c r="J369" s="174">
        <f>IF(AND(Limits!$Q$22=TRUE,Daten!K369=1)=TRUE,1,0)</f>
        <v>0</v>
      </c>
      <c r="K369" s="188">
        <f>IF(Daten!$V369=13,1,0)</f>
        <v>1</v>
      </c>
      <c r="L369" s="189">
        <f>IF(Daten!$V369&lt;&gt;Daten!$W369,1,IF(Daten!$V369=14,1,0))</f>
        <v>1</v>
      </c>
      <c r="M369" s="189">
        <f>IF(Daten!$V369&lt;&gt;Daten!$W369,1,IF(Daten!$V369=16,1,0))</f>
        <v>1</v>
      </c>
      <c r="N369" s="189">
        <f>IF(Daten!$W369=17,1,0)</f>
        <v>1</v>
      </c>
      <c r="O369" s="190">
        <f ca="1">IF(Daten!$X369=Sprache!$A$70,1,0)</f>
        <v>0</v>
      </c>
      <c r="P369" s="191">
        <f>IF(AND(Daten!$AQ369&lt;=KINVARO!$AW$3,Daten!$AR369&gt;=KINVARO!$AW$3)=TRUE,1,0)</f>
        <v>1</v>
      </c>
      <c r="Q369" s="191">
        <f>IF(AND(Daten!$AA369&lt;=KINVARO!$AW$4,Daten!$AB369&gt;=KINVARO!$AW$4)=TRUE,1,0)</f>
        <v>0</v>
      </c>
      <c r="R369" s="191"/>
      <c r="S369" s="191">
        <f>IF(AND(Daten!$AD369&lt;=Limits!$I$70,Daten!$AE369&gt;=Limits!$I$70)=TRUE,1,0)</f>
        <v>0</v>
      </c>
      <c r="T369" s="194">
        <f ca="1">IF(Daten!$Y369=Sprache!$A$135,1,0)</f>
        <v>1</v>
      </c>
      <c r="U369" s="187" t="str">
        <f ca="1">Sprache!$A$66</f>
        <v>T-71 Поворотный подъемник</v>
      </c>
      <c r="V369" s="194">
        <v>13</v>
      </c>
      <c r="W369" s="193">
        <v>17</v>
      </c>
      <c r="X369" s="187" t="str">
        <f ca="1">Sprache!$A$142</f>
        <v>Alu (Rahmen 19mm)</v>
      </c>
      <c r="Y369" s="187" t="str">
        <f ca="1">Sprache!$A$135</f>
        <v>ja</v>
      </c>
      <c r="Z369" s="187" t="str">
        <f ca="1">Sprache!$A$79</f>
        <v>Створка</v>
      </c>
      <c r="AA369" s="187">
        <v>550</v>
      </c>
      <c r="AB369" s="124">
        <v>599</v>
      </c>
      <c r="AC369" s="187"/>
      <c r="AD369" s="195">
        <v>1.6</v>
      </c>
      <c r="AE369" s="196">
        <v>4.5999999999999996</v>
      </c>
      <c r="AF369" s="263" t="str">
        <f>MID(Tabelle2[[#This Row],[bnr full]],1,4)</f>
        <v>F151</v>
      </c>
      <c r="AG369" s="264" t="str">
        <f>MID(Tabelle2[[#This Row],[bnr full]],5,3)</f>
        <v>147</v>
      </c>
      <c r="AH369" s="265" t="str">
        <f>MID(Tabelle2[[#This Row],[bnr full]],8,3)</f>
        <v>811</v>
      </c>
      <c r="AI369" s="264" t="str">
        <f>MID(Tabelle2[[#This Row],[bnr full]],11,3)</f>
        <v>201</v>
      </c>
      <c r="AJ369" s="252" t="str">
        <f>MID(Tabelle2[[#This Row],[bnr full]],11,3)</f>
        <v>201</v>
      </c>
      <c r="AK369" s="197" t="s">
        <v>1661</v>
      </c>
      <c r="AL369" s="124" t="str">
        <f ca="1">Sprache!$A$111</f>
        <v>Комплект (Л + П)</v>
      </c>
      <c r="AM369" s="187" t="s">
        <v>25</v>
      </c>
      <c r="AN369" s="187" t="str">
        <f ca="1">Sprache!$A$128</f>
        <v>Пружина, оранжевая</v>
      </c>
      <c r="AO369" s="187" t="str">
        <f ca="1">Sprache!$A$146</f>
        <v>Адаптер под алюминиевые рамки к комплекту Kinvaro T-71</v>
      </c>
      <c r="AP369" s="225" t="s">
        <v>821</v>
      </c>
      <c r="AQ369" s="187">
        <f>Limits!$K$9</f>
        <v>200</v>
      </c>
      <c r="AR369" s="124">
        <v>1200</v>
      </c>
      <c r="AS369" s="187"/>
      <c r="AT369" s="124"/>
    </row>
    <row r="370" spans="1:55" hidden="1" x14ac:dyDescent="0.25">
      <c r="A370" s="12" t="str">
        <f ca="1">IF(F370+G370+H370+I370+J370+D370+E370=3,IF(Tabelle2[[#This Row],[Kappe Weiß]]=Limits!$R$29,1,""),"")</f>
        <v/>
      </c>
      <c r="B370" s="12" t="str">
        <f ca="1">IF(G370+H370+I370+J370+E370+F370=2,IF(Tabelle2[[#This Row],[Kappe Weiß]]=Limits!$R$29,1,""),"")</f>
        <v/>
      </c>
      <c r="C370" s="292">
        <v>1</v>
      </c>
      <c r="D370" s="171">
        <f>IF(Limits!$P$8=TRUE,1,0)</f>
        <v>0</v>
      </c>
      <c r="E370" s="172">
        <f>IF(Daten!$P370+Daten!$Q370+Daten!$S370=3,1,0)</f>
        <v>0</v>
      </c>
      <c r="F370" s="173">
        <f ca="1">IF(AND(Limits!$Q$21=TRUE,Daten!O370=1)=TRUE,1,0)</f>
        <v>1</v>
      </c>
      <c r="G370" s="174">
        <f ca="1">IF(AND(Limits!$Q$25=TRUE,Daten!N370=1)=TRUE,1,0)</f>
        <v>0</v>
      </c>
      <c r="H370" s="174">
        <f ca="1">IF(AND(Limits!$Q$24=TRUE,Daten!M370=1)=TRUE,1,0)</f>
        <v>0</v>
      </c>
      <c r="I370" s="174">
        <f ca="1">IF(AND(Limits!$Q$23=TRUE,Daten!L370=1)=TRUE,1,0)</f>
        <v>0</v>
      </c>
      <c r="J370" s="174">
        <f ca="1">IF(AND(Limits!$Q$22=TRUE,Daten!K370=1)=TRUE,1,0)</f>
        <v>0</v>
      </c>
      <c r="K370" s="188">
        <f ca="1">IF(Daten!$V370=13,1,0)</f>
        <v>0</v>
      </c>
      <c r="L370" s="189">
        <f ca="1">IF(Daten!$V370&lt;&gt;Daten!$W370,1,IF(Daten!$V370=14,1,0))</f>
        <v>0</v>
      </c>
      <c r="M370" s="189">
        <f ca="1">IF(Daten!$V370&lt;&gt;Daten!$W370,1,IF(Daten!$V370=16,1,0))</f>
        <v>0</v>
      </c>
      <c r="N370" s="189">
        <f ca="1">IF(Daten!$W370=17,1,0)</f>
        <v>0</v>
      </c>
      <c r="O370" s="190">
        <f ca="1">IF(Daten!$X370=Sprache!$A$70,1,0)</f>
        <v>1</v>
      </c>
      <c r="P370" s="198">
        <f>IF(AND(Daten!$AQ370&lt;=KINVARO!$AW$3,Daten!$AR370&gt;=KINVARO!$AW$3)=TRUE,1,0)</f>
        <v>1</v>
      </c>
      <c r="Q370" s="199">
        <f>IF(AND(Daten!$AA370&lt;=KINVARO!$AW$4,Daten!$AB370&gt;=KINVARO!$AW$4)=TRUE,1,0)</f>
        <v>0</v>
      </c>
      <c r="R370" s="199"/>
      <c r="S370" s="199">
        <f>IF(AND(Daten!$AD370&lt;=Limits!$I$70,Daten!$AE370&gt;=Limits!$I$70)=TRUE,1,0)</f>
        <v>0</v>
      </c>
      <c r="T370" s="200">
        <f ca="1">IF(Daten!$Y370=Sprache!$A$135,1,0)</f>
        <v>1</v>
      </c>
      <c r="U370" s="201" t="str">
        <f ca="1">Sprache!$A$66</f>
        <v>T-71 Поворотный подъемник</v>
      </c>
      <c r="V370" s="202" t="str">
        <f ca="1">Sprache!$A$74</f>
        <v>var</v>
      </c>
      <c r="W370" s="200" t="str">
        <f ca="1">Sprache!$A$74</f>
        <v>var</v>
      </c>
      <c r="X370" s="203" t="str">
        <f ca="1">Sprache!$A$70</f>
        <v>соединение с древесиной</v>
      </c>
      <c r="Y370" s="203" t="str">
        <f ca="1">Sprache!$A$135</f>
        <v>ja</v>
      </c>
      <c r="Z370" s="203" t="str">
        <f ca="1">Sprache!$A$79</f>
        <v>Створка</v>
      </c>
      <c r="AA370" s="203">
        <v>600</v>
      </c>
      <c r="AB370" s="201">
        <v>600</v>
      </c>
      <c r="AC370" s="203"/>
      <c r="AD370" s="204">
        <v>1.4</v>
      </c>
      <c r="AE370" s="205">
        <v>3.3</v>
      </c>
      <c r="AF370" s="266" t="str">
        <f>MID(Tabelle2[[#This Row],[bnr full]],1,4)</f>
        <v>F151</v>
      </c>
      <c r="AG370" s="267" t="str">
        <f>MID(Tabelle2[[#This Row],[bnr full]],5,3)</f>
        <v>147</v>
      </c>
      <c r="AH370" s="268" t="str">
        <f>MID(Tabelle2[[#This Row],[bnr full]],8,3)</f>
        <v>811</v>
      </c>
      <c r="AI370" s="267" t="str">
        <f>MID(Tabelle2[[#This Row],[bnr full]],11,3)</f>
        <v>201</v>
      </c>
      <c r="AJ370" s="253" t="str">
        <f>MID(Tabelle2[[#This Row],[bnr full]],11,3)</f>
        <v>201</v>
      </c>
      <c r="AK370" s="206" t="s">
        <v>1661</v>
      </c>
      <c r="AL370" s="201" t="str">
        <f ca="1">Sprache!$A$111</f>
        <v>Комплект (Л + П)</v>
      </c>
      <c r="AM370" s="203" t="s">
        <v>25</v>
      </c>
      <c r="AN370" s="203" t="str">
        <f ca="1">Sprache!$A$127</f>
        <v>Пружина, белая</v>
      </c>
      <c r="AO370" s="203" t="s">
        <v>25</v>
      </c>
      <c r="AP370" s="203" t="s">
        <v>25</v>
      </c>
      <c r="AQ370" s="203">
        <f>Limits!$K$9</f>
        <v>200</v>
      </c>
      <c r="AR370" s="201">
        <v>1200</v>
      </c>
      <c r="AS370" s="187"/>
      <c r="AT370" s="124"/>
      <c r="AU370"/>
      <c r="AV370"/>
      <c r="AY370"/>
      <c r="AZ370"/>
      <c r="BA370"/>
      <c r="BB370"/>
      <c r="BC370"/>
    </row>
    <row r="371" spans="1:55" hidden="1" x14ac:dyDescent="0.25">
      <c r="A371" s="12" t="str">
        <f ca="1">IF(F371+G371+H371+I371+J371+D371+E371=3,IF(Tabelle2[[#This Row],[Kappe Weiß]]=Limits!$R$29,1,""),"")</f>
        <v/>
      </c>
      <c r="B371" s="12" t="str">
        <f ca="1">IF(G371+H371+I371+J371+E371+F371=2,IF(Tabelle2[[#This Row],[Kappe Weiß]]=Limits!$R$29,1,""),"")</f>
        <v/>
      </c>
      <c r="C371" s="291">
        <v>1</v>
      </c>
      <c r="D371" s="171">
        <f>IF(Limits!$P$8=TRUE,1,0)</f>
        <v>0</v>
      </c>
      <c r="E371" s="172">
        <f>IF(Daten!$P371+Daten!$Q371+Daten!$S371=3,1,0)</f>
        <v>0</v>
      </c>
      <c r="F371" s="173">
        <f ca="1">IF(AND(Limits!$Q$21=TRUE,Daten!O371=1)=TRUE,1,0)</f>
        <v>1</v>
      </c>
      <c r="G371" s="174">
        <f ca="1">IF(AND(Limits!$Q$25=TRUE,Daten!N371=1)=TRUE,1,0)</f>
        <v>0</v>
      </c>
      <c r="H371" s="174">
        <f ca="1">IF(AND(Limits!$Q$24=TRUE,Daten!M371=1)=TRUE,1,0)</f>
        <v>0</v>
      </c>
      <c r="I371" s="174">
        <f ca="1">IF(AND(Limits!$Q$23=TRUE,Daten!L371=1)=TRUE,1,0)</f>
        <v>0</v>
      </c>
      <c r="J371" s="174">
        <f ca="1">IF(AND(Limits!$Q$22=TRUE,Daten!K371=1)=TRUE,1,0)</f>
        <v>0</v>
      </c>
      <c r="K371" s="188">
        <f ca="1">IF(Daten!$V371=13,1,0)</f>
        <v>0</v>
      </c>
      <c r="L371" s="189">
        <f ca="1">IF(Daten!$V371&lt;&gt;Daten!$W371,1,IF(Daten!$V371=14,1,0))</f>
        <v>0</v>
      </c>
      <c r="M371" s="189">
        <f ca="1">IF(Daten!$V371&lt;&gt;Daten!$W371,1,IF(Daten!$V371=16,1,0))</f>
        <v>0</v>
      </c>
      <c r="N371" s="189">
        <f ca="1">IF(Daten!$W371=17,1,0)</f>
        <v>0</v>
      </c>
      <c r="O371" s="190">
        <f ca="1">IF(Daten!$X371=Sprache!$A$70,1,0)</f>
        <v>1</v>
      </c>
      <c r="P371" s="191">
        <f>IF(AND(Daten!$AQ371&lt;=KINVARO!$AW$3,Daten!$AR371&gt;=KINVARO!$AW$3)=TRUE,1,0)</f>
        <v>1</v>
      </c>
      <c r="Q371" s="192">
        <f>IF(AND(Daten!$AA371&lt;=KINVARO!$AW$4,Daten!$AB371&gt;=KINVARO!$AW$4)=TRUE,1,0)</f>
        <v>0</v>
      </c>
      <c r="R371" s="192"/>
      <c r="S371" s="192">
        <f>IF(AND(Daten!$AD371&lt;=Limits!$I$70,Daten!$AE371&gt;=Limits!$I$70)=TRUE,1,0)</f>
        <v>0</v>
      </c>
      <c r="T371" s="193">
        <f ca="1">IF(Daten!$Y371=Sprache!$A$135,1,0)</f>
        <v>1</v>
      </c>
      <c r="U371" s="124" t="str">
        <f ca="1">Sprache!$A$66</f>
        <v>T-71 Поворотный подъемник</v>
      </c>
      <c r="V371" s="194" t="str">
        <f ca="1">Sprache!$A$74</f>
        <v>var</v>
      </c>
      <c r="W371" s="193" t="str">
        <f ca="1">Sprache!$A$74</f>
        <v>var</v>
      </c>
      <c r="X371" s="187" t="str">
        <f ca="1">Sprache!$A$70</f>
        <v>соединение с древесиной</v>
      </c>
      <c r="Y371" s="187" t="str">
        <f ca="1">Sprache!$A$135</f>
        <v>ja</v>
      </c>
      <c r="Z371" s="187" t="str">
        <f ca="1">Sprache!$A$79</f>
        <v>Створка</v>
      </c>
      <c r="AA371" s="187">
        <v>600</v>
      </c>
      <c r="AB371" s="124">
        <v>600</v>
      </c>
      <c r="AC371" s="187"/>
      <c r="AD371" s="195">
        <v>1.4</v>
      </c>
      <c r="AE371" s="196">
        <v>4.2</v>
      </c>
      <c r="AF371" s="263" t="str">
        <f>MID(Tabelle2[[#This Row],[bnr full]],1,4)</f>
        <v>F151</v>
      </c>
      <c r="AG371" s="264" t="str">
        <f>MID(Tabelle2[[#This Row],[bnr full]],5,3)</f>
        <v>147</v>
      </c>
      <c r="AH371" s="265" t="str">
        <f>MID(Tabelle2[[#This Row],[bnr full]],8,3)</f>
        <v>811</v>
      </c>
      <c r="AI371" s="264" t="str">
        <f>MID(Tabelle2[[#This Row],[bnr full]],11,3)</f>
        <v>201</v>
      </c>
      <c r="AJ371" s="252" t="str">
        <f>MID(Tabelle2[[#This Row],[bnr full]],11,3)</f>
        <v>201</v>
      </c>
      <c r="AK371" s="197" t="s">
        <v>1661</v>
      </c>
      <c r="AL371" s="124" t="str">
        <f ca="1">Sprache!$A$111</f>
        <v>Комплект (Л + П)</v>
      </c>
      <c r="AM371" s="187" t="s">
        <v>25</v>
      </c>
      <c r="AN371" s="187" t="str">
        <f ca="1">Sprache!$A$128</f>
        <v>Пружина, оранжевая</v>
      </c>
      <c r="AO371" s="187" t="s">
        <v>25</v>
      </c>
      <c r="AP371" s="187" t="s">
        <v>25</v>
      </c>
      <c r="AQ371" s="187">
        <f>Limits!$K$9</f>
        <v>200</v>
      </c>
      <c r="AR371" s="124">
        <v>1200</v>
      </c>
      <c r="AS371" s="187"/>
      <c r="AT371" s="124"/>
      <c r="AU371"/>
      <c r="AV371"/>
      <c r="AY371"/>
      <c r="AZ371"/>
      <c r="BA371"/>
      <c r="BB371"/>
      <c r="BC371"/>
    </row>
    <row r="372" spans="1:55" hidden="1" x14ac:dyDescent="0.25">
      <c r="A372" s="12" t="str">
        <f ca="1">IF(F372+G372+H372+I372+J372+D372+E372=3,IF(Tabelle2[[#This Row],[Kappe Weiß]]=Limits!$R$29,1,""),"")</f>
        <v/>
      </c>
      <c r="B372" s="12" t="str">
        <f ca="1">IF(G372+H372+I372+J372+E372+F372=2,IF(Tabelle2[[#This Row],[Kappe Weiß]]=Limits!$R$29,1,""),"")</f>
        <v/>
      </c>
      <c r="C372" s="291">
        <v>1</v>
      </c>
      <c r="D372" s="171">
        <f>IF(Limits!$P$8=TRUE,1,0)</f>
        <v>0</v>
      </c>
      <c r="E372" s="172">
        <f>IF(Daten!$P372+Daten!$Q372+Daten!$S372=3,1,0)</f>
        <v>0</v>
      </c>
      <c r="F372" s="173">
        <f ca="1">IF(AND(Limits!$Q$21=TRUE,Daten!O372=1)=TRUE,1,0)</f>
        <v>0</v>
      </c>
      <c r="G372" s="174">
        <f>IF(AND(Limits!$Q$25=TRUE,Daten!N372=1)=TRUE,1,0)</f>
        <v>0</v>
      </c>
      <c r="H372" s="174">
        <f>IF(AND(Limits!$Q$24=TRUE,Daten!M372=1)=TRUE,1,0)</f>
        <v>0</v>
      </c>
      <c r="I372" s="174">
        <f>IF(AND(Limits!$Q$23=TRUE,Daten!L372=1)=TRUE,1,0)</f>
        <v>0</v>
      </c>
      <c r="J372" s="174">
        <f>IF(AND(Limits!$Q$22=TRUE,Daten!K372=1)=TRUE,1,0)</f>
        <v>0</v>
      </c>
      <c r="K372" s="188">
        <f>IF(Daten!$V372=13,1,0)</f>
        <v>1</v>
      </c>
      <c r="L372" s="189">
        <f>IF(Daten!$V372&lt;&gt;Daten!$W372,1,IF(Daten!$V372=14,1,0))</f>
        <v>1</v>
      </c>
      <c r="M372" s="189">
        <f>IF(Daten!$V372&lt;&gt;Daten!$W372,1,IF(Daten!$V372=16,1,0))</f>
        <v>1</v>
      </c>
      <c r="N372" s="189">
        <f>IF(Daten!$W372=17,1,0)</f>
        <v>1</v>
      </c>
      <c r="O372" s="190">
        <f ca="1">IF(Daten!$X372=Sprache!$A$70,1,0)</f>
        <v>0</v>
      </c>
      <c r="P372" s="191">
        <f>IF(AND(Daten!$AQ372&lt;=KINVARO!$AW$3,Daten!$AR372&gt;=KINVARO!$AW$3)=TRUE,1,0)</f>
        <v>1</v>
      </c>
      <c r="Q372" s="192">
        <f>IF(AND(Daten!$AA372&lt;=KINVARO!$AW$4,Daten!$AB372&gt;=KINVARO!$AW$4)=TRUE,1,0)</f>
        <v>0</v>
      </c>
      <c r="R372" s="192"/>
      <c r="S372" s="192">
        <f>IF(AND(Daten!$AD372&lt;=Limits!$I$70,Daten!$AE372&gt;=Limits!$I$70)=TRUE,1,0)</f>
        <v>0</v>
      </c>
      <c r="T372" s="193">
        <f ca="1">IF(Daten!$Y372=Sprache!$A$135,1,0)</f>
        <v>1</v>
      </c>
      <c r="U372" s="124" t="str">
        <f ca="1">Sprache!$A$66</f>
        <v>T-71 Поворотный подъемник</v>
      </c>
      <c r="V372" s="194">
        <v>13</v>
      </c>
      <c r="W372" s="193">
        <v>17</v>
      </c>
      <c r="X372" s="187" t="str">
        <f ca="1">Sprache!$A$142</f>
        <v>Alu (Rahmen 19mm)</v>
      </c>
      <c r="Y372" s="187" t="str">
        <f ca="1">Sprache!$A$135</f>
        <v>ja</v>
      </c>
      <c r="Z372" s="187" t="str">
        <f ca="1">Sprache!$A$79</f>
        <v>Створка</v>
      </c>
      <c r="AA372" s="187">
        <v>600</v>
      </c>
      <c r="AB372" s="124">
        <v>600</v>
      </c>
      <c r="AC372" s="187"/>
      <c r="AD372" s="195">
        <v>1.4</v>
      </c>
      <c r="AE372" s="196">
        <v>3.3</v>
      </c>
      <c r="AF372" s="263" t="str">
        <f>MID(Tabelle2[[#This Row],[bnr full]],1,4)</f>
        <v>F151</v>
      </c>
      <c r="AG372" s="264" t="str">
        <f>MID(Tabelle2[[#This Row],[bnr full]],5,3)</f>
        <v>147</v>
      </c>
      <c r="AH372" s="265" t="str">
        <f>MID(Tabelle2[[#This Row],[bnr full]],8,3)</f>
        <v>811</v>
      </c>
      <c r="AI372" s="264" t="str">
        <f>MID(Tabelle2[[#This Row],[bnr full]],11,3)</f>
        <v>201</v>
      </c>
      <c r="AJ372" s="252" t="str">
        <f>MID(Tabelle2[[#This Row],[bnr full]],11,3)</f>
        <v>201</v>
      </c>
      <c r="AK372" s="197" t="s">
        <v>1661</v>
      </c>
      <c r="AL372" s="124" t="str">
        <f ca="1">Sprache!$A$111</f>
        <v>Комплект (Л + П)</v>
      </c>
      <c r="AM372" s="187" t="s">
        <v>25</v>
      </c>
      <c r="AN372" s="187" t="str">
        <f ca="1">Sprache!$A$127</f>
        <v>Пружина, белая</v>
      </c>
      <c r="AO372" s="187" t="str">
        <f ca="1">Sprache!$A$146</f>
        <v>Адаптер под алюминиевые рамки к комплекту Kinvaro T-71</v>
      </c>
      <c r="AP372" s="225" t="s">
        <v>821</v>
      </c>
      <c r="AQ372" s="187">
        <f>Limits!$K$9</f>
        <v>200</v>
      </c>
      <c r="AR372" s="124">
        <v>1200</v>
      </c>
      <c r="AS372" s="187"/>
      <c r="AT372" s="124"/>
      <c r="AU372"/>
      <c r="AV372"/>
      <c r="AY372"/>
      <c r="AZ372"/>
      <c r="BA372"/>
      <c r="BB372"/>
      <c r="BC372"/>
    </row>
    <row r="373" spans="1:55" hidden="1" x14ac:dyDescent="0.25">
      <c r="A373" s="12" t="str">
        <f ca="1">IF(F373+G373+H373+I373+J373+D373+E373=3,IF(Tabelle2[[#This Row],[Kappe Weiß]]=Limits!$R$29,1,""),"")</f>
        <v/>
      </c>
      <c r="B373" s="12" t="str">
        <f ca="1">IF(G373+H373+I373+J373+E373+F373=2,IF(Tabelle2[[#This Row],[Kappe Weiß]]=Limits!$R$29,1,""),"")</f>
        <v/>
      </c>
      <c r="C373" s="291">
        <v>1</v>
      </c>
      <c r="D373" s="207">
        <f>IF(Limits!$P$8=TRUE,1,0)</f>
        <v>0</v>
      </c>
      <c r="E373" s="172">
        <f>IF(Daten!$P373+Daten!$Q373+Daten!$S373=3,1,0)</f>
        <v>0</v>
      </c>
      <c r="F373" s="173">
        <f ca="1">IF(AND(Limits!$Q$21=TRUE,Daten!O373=1)=TRUE,1,0)</f>
        <v>0</v>
      </c>
      <c r="G373" s="174">
        <f>IF(AND(Limits!$Q$25=TRUE,Daten!N373=1)=TRUE,1,0)</f>
        <v>0</v>
      </c>
      <c r="H373" s="174">
        <f>IF(AND(Limits!$Q$24=TRUE,Daten!M373=1)=TRUE,1,0)</f>
        <v>0</v>
      </c>
      <c r="I373" s="174">
        <f>IF(AND(Limits!$Q$23=TRUE,Daten!L373=1)=TRUE,1,0)</f>
        <v>0</v>
      </c>
      <c r="J373" s="174">
        <f>IF(AND(Limits!$Q$22=TRUE,Daten!K373=1)=TRUE,1,0)</f>
        <v>0</v>
      </c>
      <c r="K373" s="188">
        <f>IF(Daten!$V373=13,1,0)</f>
        <v>1</v>
      </c>
      <c r="L373" s="189">
        <f>IF(Daten!$V373&lt;&gt;Daten!$W373,1,IF(Daten!$V373=14,1,0))</f>
        <v>1</v>
      </c>
      <c r="M373" s="189">
        <f>IF(Daten!$V373&lt;&gt;Daten!$W373,1,IF(Daten!$V373=16,1,0))</f>
        <v>1</v>
      </c>
      <c r="N373" s="189">
        <f>IF(Daten!$W373=17,1,0)</f>
        <v>1</v>
      </c>
      <c r="O373" s="190">
        <f ca="1">IF(Daten!$X373=Sprache!$A$70,1,0)</f>
        <v>0</v>
      </c>
      <c r="P373" s="191">
        <f>IF(AND(Daten!$AQ373&lt;=KINVARO!$AW$3,Daten!$AR373&gt;=KINVARO!$AW$3)=TRUE,1,0)</f>
        <v>1</v>
      </c>
      <c r="Q373" s="191">
        <f>IF(AND(Daten!$AA373&lt;=KINVARO!$AW$4,Daten!$AB373&gt;=KINVARO!$AW$4)=TRUE,1,0)</f>
        <v>0</v>
      </c>
      <c r="R373" s="191"/>
      <c r="S373" s="191">
        <f>IF(AND(Daten!$AD373&lt;=Limits!$I$70,Daten!$AE373&gt;=Limits!$I$70)=TRUE,1,0)</f>
        <v>0</v>
      </c>
      <c r="T373" s="194">
        <f ca="1">IF(Daten!$Y373=Sprache!$A$135,1,0)</f>
        <v>1</v>
      </c>
      <c r="U373" s="187" t="str">
        <f ca="1">Sprache!$A$66</f>
        <v>T-71 Поворотный подъемник</v>
      </c>
      <c r="V373" s="194">
        <v>13</v>
      </c>
      <c r="W373" s="193">
        <v>17</v>
      </c>
      <c r="X373" s="187" t="str">
        <f ca="1">Sprache!$A$142</f>
        <v>Alu (Rahmen 19mm)</v>
      </c>
      <c r="Y373" s="187" t="str">
        <f ca="1">Sprache!$A$135</f>
        <v>ja</v>
      </c>
      <c r="Z373" s="187" t="str">
        <f ca="1">Sprache!$A$79</f>
        <v>Створка</v>
      </c>
      <c r="AA373" s="187">
        <v>600</v>
      </c>
      <c r="AB373" s="124">
        <v>600</v>
      </c>
      <c r="AC373" s="187"/>
      <c r="AD373" s="195">
        <v>1.4</v>
      </c>
      <c r="AE373" s="196">
        <v>4.2</v>
      </c>
      <c r="AF373" s="263" t="str">
        <f>MID(Tabelle2[[#This Row],[bnr full]],1,4)</f>
        <v>F151</v>
      </c>
      <c r="AG373" s="264" t="str">
        <f>MID(Tabelle2[[#This Row],[bnr full]],5,3)</f>
        <v>147</v>
      </c>
      <c r="AH373" s="265" t="str">
        <f>MID(Tabelle2[[#This Row],[bnr full]],8,3)</f>
        <v>811</v>
      </c>
      <c r="AI373" s="264" t="str">
        <f>MID(Tabelle2[[#This Row],[bnr full]],11,3)</f>
        <v>201</v>
      </c>
      <c r="AJ373" s="252" t="str">
        <f>MID(Tabelle2[[#This Row],[bnr full]],11,3)</f>
        <v>201</v>
      </c>
      <c r="AK373" s="197" t="s">
        <v>1661</v>
      </c>
      <c r="AL373" s="124" t="str">
        <f ca="1">Sprache!$A$111</f>
        <v>Комплект (Л + П)</v>
      </c>
      <c r="AM373" s="187" t="s">
        <v>25</v>
      </c>
      <c r="AN373" s="187" t="str">
        <f ca="1">Sprache!$A$128</f>
        <v>Пружина, оранжевая</v>
      </c>
      <c r="AO373" s="187" t="str">
        <f ca="1">Sprache!$A$146</f>
        <v>Адаптер под алюминиевые рамки к комплекту Kinvaro T-71</v>
      </c>
      <c r="AP373" s="225" t="s">
        <v>821</v>
      </c>
      <c r="AQ373" s="187">
        <f>Limits!$K$9</f>
        <v>200</v>
      </c>
      <c r="AR373" s="124">
        <v>1200</v>
      </c>
      <c r="AS373" s="187"/>
      <c r="AT373" s="124"/>
      <c r="AU373"/>
      <c r="AV373"/>
      <c r="AY373"/>
      <c r="AZ373"/>
      <c r="BA373"/>
      <c r="BB373"/>
      <c r="BC373"/>
    </row>
    <row r="374" spans="1:55" ht="15.75" hidden="1" thickTop="1" x14ac:dyDescent="0.25">
      <c r="A374" s="12" t="str">
        <f ca="1">IF(F374+G374+H374+I374+J374+D374+E374=3,IF(Tabelle2[[#This Row],[Kappe Weiß]]=Limits!$R$29,1,""),"")</f>
        <v/>
      </c>
      <c r="B374" s="12" t="str">
        <f ca="1">IF(G374+H374+I374+J374+E374+F374=2,IF(Tabelle2[[#This Row],[Kappe Weiß]]=Limits!$R$29,1,""),"")</f>
        <v/>
      </c>
      <c r="C374" s="293">
        <v>0</v>
      </c>
      <c r="D374" s="171">
        <f>IF(Limits!$P$7=TRUE,1,0)</f>
        <v>0</v>
      </c>
      <c r="E374" s="172">
        <f>IF(Daten!$P374+Daten!$Q374+Daten!$S374=3,1,0)</f>
        <v>0</v>
      </c>
      <c r="F374" s="173">
        <f ca="1">IF(AND(Limits!$Q$21=TRUE,Daten!O374=1)=TRUE,1,0)</f>
        <v>1</v>
      </c>
      <c r="G374" s="174">
        <f ca="1">IF(AND(Limits!$Q$25=TRUE,Daten!N374=1)=TRUE,1,0)</f>
        <v>0</v>
      </c>
      <c r="H374" s="174">
        <f ca="1">IF(AND(Limits!$Q$24=TRUE,Daten!M374=1)=TRUE,1,0)</f>
        <v>0</v>
      </c>
      <c r="I374" s="174">
        <f ca="1">IF(AND(Limits!$Q$23=TRUE,Daten!L374=1)=TRUE,1,0)</f>
        <v>0</v>
      </c>
      <c r="J374" s="174">
        <f ca="1">IF(AND(Limits!$Q$22=TRUE,Daten!K374=1)=TRUE,1,0)</f>
        <v>0</v>
      </c>
      <c r="K374" s="188">
        <f ca="1">IF(Daten!$V374=13,1,0)</f>
        <v>0</v>
      </c>
      <c r="L374" s="189">
        <f ca="1">IF(Daten!$V374&lt;&gt;Daten!$W374,1,IF(Daten!$V374=14,1,0))</f>
        <v>0</v>
      </c>
      <c r="M374" s="189">
        <f ca="1">IF(Daten!$V374&lt;&gt;Daten!$W374,1,IF(Daten!$V374=16,1,0))</f>
        <v>0</v>
      </c>
      <c r="N374" s="189">
        <f ca="1">IF(Daten!$W374=17,1,0)</f>
        <v>0</v>
      </c>
      <c r="O374" s="190">
        <f ca="1">IF(Daten!$X374=Sprache!$A$70,1,0)</f>
        <v>1</v>
      </c>
      <c r="P374" s="208">
        <f>IF(AND(Daten!$AQ374&lt;=KINVARO!$AW$3,Daten!$AR374&gt;=KINVARO!$AW$3)=TRUE,1,0)</f>
        <v>1</v>
      </c>
      <c r="Q374" s="209">
        <f>IF(AND(Daten!$AA374&lt;=KINVARO!$AW$4,Daten!$AB374&gt;=KINVARO!$AW$4)=TRUE,1,0)</f>
        <v>0</v>
      </c>
      <c r="R374" s="209"/>
      <c r="S374" s="209">
        <f>IF(AND(Daten!$AD374&lt;=Limits!$I$70,Daten!$AE374&gt;=Limits!$I$70)=TRUE,1,0)</f>
        <v>0</v>
      </c>
      <c r="T374" s="210">
        <f ca="1">IF(Daten!$Y374=Sprache!$A$135,1,0)</f>
        <v>0</v>
      </c>
      <c r="U374" s="211" t="str">
        <f ca="1">Sprache!$A$67</f>
        <v>T-70 Поворотный подъемник</v>
      </c>
      <c r="V374" s="212" t="str">
        <f ca="1">Sprache!$A$74</f>
        <v>var</v>
      </c>
      <c r="W374" s="210" t="str">
        <f ca="1">Sprache!$A$74</f>
        <v>var</v>
      </c>
      <c r="X374" s="213" t="str">
        <f ca="1">Sprache!$A$70</f>
        <v>соединение с древесиной</v>
      </c>
      <c r="Y374" s="213" t="str">
        <f ca="1">Sprache!$A$136</f>
        <v>nein</v>
      </c>
      <c r="Z374" s="213" t="str">
        <f ca="1">Sprache!$A$79</f>
        <v>Створка</v>
      </c>
      <c r="AA374" s="213">
        <v>300</v>
      </c>
      <c r="AB374" s="211">
        <v>349</v>
      </c>
      <c r="AC374" s="213"/>
      <c r="AD374" s="214">
        <v>2.1</v>
      </c>
      <c r="AE374" s="215">
        <v>7.4</v>
      </c>
      <c r="AF374" s="269" t="str">
        <f>MID(Tabelle2[[#This Row],[bnr full]],1,4)</f>
        <v>F151</v>
      </c>
      <c r="AG374" s="270" t="str">
        <f>MID(Tabelle2[[#This Row],[bnr full]],5,3)</f>
        <v>147</v>
      </c>
      <c r="AH374" s="271" t="str">
        <f>MID(Tabelle2[[#This Row],[bnr full]],8,3)</f>
        <v>692</v>
      </c>
      <c r="AI374" s="270" t="str">
        <f>MID(Tabelle2[[#This Row],[bnr full]],11,3)</f>
        <v>201</v>
      </c>
      <c r="AJ374" s="254" t="str">
        <f>MID(Tabelle2[[#This Row],[bnr full]],11,3)</f>
        <v>201</v>
      </c>
      <c r="AK374" s="216" t="s">
        <v>799</v>
      </c>
      <c r="AL374" s="211" t="str">
        <f ca="1">Sprache!$A$111</f>
        <v>Комплект (Л + П)</v>
      </c>
      <c r="AM374" s="213" t="s">
        <v>25</v>
      </c>
      <c r="AN374" s="213" t="str">
        <f ca="1">Sprache!$A$127</f>
        <v>Пружина, белая</v>
      </c>
      <c r="AO374" s="213" t="s">
        <v>25</v>
      </c>
      <c r="AP374" s="213" t="s">
        <v>25</v>
      </c>
      <c r="AQ374" s="213">
        <f>Limits!$K$9</f>
        <v>200</v>
      </c>
      <c r="AR374" s="211">
        <v>1200</v>
      </c>
      <c r="AS374" s="187"/>
      <c r="AT374" s="124"/>
      <c r="AU374"/>
      <c r="AV374"/>
      <c r="AY374"/>
      <c r="AZ374"/>
      <c r="BA374"/>
      <c r="BB374"/>
      <c r="BC374"/>
    </row>
    <row r="375" spans="1:55" hidden="1" x14ac:dyDescent="0.25">
      <c r="A375" s="12" t="str">
        <f ca="1">IF(F375+G375+H375+I375+J375+D375+E375=3,IF(Tabelle2[[#This Row],[Kappe Weiß]]=Limits!$R$29,1,""),"")</f>
        <v/>
      </c>
      <c r="B375" s="12" t="str">
        <f ca="1">IF(G375+H375+I375+J375+E375+F375=2,IF(Tabelle2[[#This Row],[Kappe Weiß]]=Limits!$R$29,1,""),"")</f>
        <v/>
      </c>
      <c r="C375" s="291">
        <v>0</v>
      </c>
      <c r="D375" s="171">
        <f>IF(Limits!$P$7=TRUE,1,0)</f>
        <v>0</v>
      </c>
      <c r="E375" s="172">
        <f>IF(Daten!$P375+Daten!$Q375+Daten!$S375=3,1,0)</f>
        <v>0</v>
      </c>
      <c r="F375" s="173">
        <f ca="1">IF(AND(Limits!$Q$21=TRUE,Daten!O375=1)=TRUE,1,0)</f>
        <v>1</v>
      </c>
      <c r="G375" s="174">
        <f ca="1">IF(AND(Limits!$Q$25=TRUE,Daten!N375=1)=TRUE,1,0)</f>
        <v>0</v>
      </c>
      <c r="H375" s="174">
        <f ca="1">IF(AND(Limits!$Q$24=TRUE,Daten!M375=1)=TRUE,1,0)</f>
        <v>0</v>
      </c>
      <c r="I375" s="174">
        <f ca="1">IF(AND(Limits!$Q$23=TRUE,Daten!L375=1)=TRUE,1,0)</f>
        <v>0</v>
      </c>
      <c r="J375" s="174">
        <f ca="1">IF(AND(Limits!$Q$22=TRUE,Daten!K375=1)=TRUE,1,0)</f>
        <v>0</v>
      </c>
      <c r="K375" s="188">
        <f ca="1">IF(Daten!$V375=13,1,0)</f>
        <v>0</v>
      </c>
      <c r="L375" s="189">
        <f ca="1">IF(Daten!$V375&lt;&gt;Daten!$W375,1,IF(Daten!$V375=14,1,0))</f>
        <v>0</v>
      </c>
      <c r="M375" s="189">
        <f ca="1">IF(Daten!$V375&lt;&gt;Daten!$W375,1,IF(Daten!$V375=16,1,0))</f>
        <v>0</v>
      </c>
      <c r="N375" s="189">
        <f ca="1">IF(Daten!$W375=17,1,0)</f>
        <v>0</v>
      </c>
      <c r="O375" s="190">
        <f ca="1">IF(Daten!$X375=Sprache!$A$70,1,0)</f>
        <v>1</v>
      </c>
      <c r="P375" s="191">
        <f>IF(AND(Daten!$AQ375&lt;=KINVARO!$AW$3,Daten!$AR375&gt;=KINVARO!$AW$3)=TRUE,1,0)</f>
        <v>1</v>
      </c>
      <c r="Q375" s="192">
        <f>IF(AND(Daten!$AA375&lt;=KINVARO!$AW$4,Daten!$AB375&gt;=KINVARO!$AW$4)=TRUE,1,0)</f>
        <v>0</v>
      </c>
      <c r="R375" s="192"/>
      <c r="S375" s="192">
        <f>IF(AND(Daten!$AD375&lt;=Limits!$I$70,Daten!$AE375&gt;=Limits!$I$70)=TRUE,1,0)</f>
        <v>0</v>
      </c>
      <c r="T375" s="193">
        <f ca="1">IF(Daten!$Y375=Sprache!$A$135,1,0)</f>
        <v>0</v>
      </c>
      <c r="U375" s="124" t="str">
        <f ca="1">Sprache!$A$67</f>
        <v>T-70 Поворотный подъемник</v>
      </c>
      <c r="V375" s="194" t="str">
        <f ca="1">Sprache!$A$74</f>
        <v>var</v>
      </c>
      <c r="W375" s="193" t="str">
        <f ca="1">Sprache!$A$74</f>
        <v>var</v>
      </c>
      <c r="X375" s="187" t="str">
        <f ca="1">Sprache!$A$70</f>
        <v>соединение с древесиной</v>
      </c>
      <c r="Y375" s="187" t="str">
        <f ca="1">Sprache!$A$136</f>
        <v>nein</v>
      </c>
      <c r="Z375" s="187" t="str">
        <f ca="1">Sprache!$A$79</f>
        <v>Створка</v>
      </c>
      <c r="AA375" s="187">
        <v>300</v>
      </c>
      <c r="AB375" s="124">
        <v>349</v>
      </c>
      <c r="AC375" s="187"/>
      <c r="AD375" s="195">
        <v>2.5</v>
      </c>
      <c r="AE375" s="196">
        <v>8.5</v>
      </c>
      <c r="AF375" s="263" t="str">
        <f>MID(Tabelle2[[#This Row],[bnr full]],1,4)</f>
        <v>F151</v>
      </c>
      <c r="AG375" s="264" t="str">
        <f>MID(Tabelle2[[#This Row],[bnr full]],5,3)</f>
        <v>147</v>
      </c>
      <c r="AH375" s="265" t="str">
        <f>MID(Tabelle2[[#This Row],[bnr full]],8,3)</f>
        <v>692</v>
      </c>
      <c r="AI375" s="264" t="str">
        <f>MID(Tabelle2[[#This Row],[bnr full]],11,3)</f>
        <v>201</v>
      </c>
      <c r="AJ375" s="252" t="str">
        <f>MID(Tabelle2[[#This Row],[bnr full]],11,3)</f>
        <v>201</v>
      </c>
      <c r="AK375" s="197" t="s">
        <v>799</v>
      </c>
      <c r="AL375" s="124" t="str">
        <f ca="1">Sprache!$A$111</f>
        <v>Комплект (Л + П)</v>
      </c>
      <c r="AM375" s="187" t="s">
        <v>25</v>
      </c>
      <c r="AN375" s="187" t="str">
        <f ca="1">Sprache!$A$128</f>
        <v>Пружина, оранжевая</v>
      </c>
      <c r="AO375" s="187" t="s">
        <v>25</v>
      </c>
      <c r="AP375" s="187" t="s">
        <v>25</v>
      </c>
      <c r="AQ375" s="187">
        <f>Limits!$K$9</f>
        <v>200</v>
      </c>
      <c r="AR375" s="124">
        <v>1200</v>
      </c>
      <c r="AS375" s="187"/>
      <c r="AT375" s="124"/>
      <c r="AU375"/>
      <c r="AV375"/>
      <c r="AY375"/>
      <c r="AZ375"/>
      <c r="BA375"/>
      <c r="BB375"/>
      <c r="BC375"/>
    </row>
    <row r="376" spans="1:55" hidden="1" x14ac:dyDescent="0.25">
      <c r="A376" s="12" t="str">
        <f ca="1">IF(F376+G376+H376+I376+J376+D376+E376=3,IF(Tabelle2[[#This Row],[Kappe Weiß]]=Limits!$R$29,1,""),"")</f>
        <v/>
      </c>
      <c r="B376" s="12" t="str">
        <f ca="1">IF(G376+H376+I376+J376+E376+F376=2,IF(Tabelle2[[#This Row],[Kappe Weiß]]=Limits!$R$29,1,""),"")</f>
        <v/>
      </c>
      <c r="C376" s="291">
        <v>0</v>
      </c>
      <c r="D376" s="171">
        <f>IF(Limits!$P$7=TRUE,1,0)</f>
        <v>0</v>
      </c>
      <c r="E376" s="172">
        <f>IF(Daten!$P376+Daten!$Q376+Daten!$S376=3,1,0)</f>
        <v>0</v>
      </c>
      <c r="F376" s="173">
        <f ca="1">IF(AND(Limits!$Q$21=TRUE,Daten!O376=1)=TRUE,1,0)</f>
        <v>0</v>
      </c>
      <c r="G376" s="174">
        <f>IF(AND(Limits!$Q$25=TRUE,Daten!N376=1)=TRUE,1,0)</f>
        <v>0</v>
      </c>
      <c r="H376" s="174">
        <f>IF(AND(Limits!$Q$24=TRUE,Daten!M376=1)=TRUE,1,0)</f>
        <v>0</v>
      </c>
      <c r="I376" s="174">
        <f>IF(AND(Limits!$Q$23=TRUE,Daten!L376=1)=TRUE,1,0)</f>
        <v>0</v>
      </c>
      <c r="J376" s="174">
        <f>IF(AND(Limits!$Q$22=TRUE,Daten!K376=1)=TRUE,1,0)</f>
        <v>0</v>
      </c>
      <c r="K376" s="188">
        <f>IF(Daten!$V376=13,1,0)</f>
        <v>1</v>
      </c>
      <c r="L376" s="189">
        <f>IF(Daten!$V376&lt;&gt;Daten!$W376,1,IF(Daten!$V376=14,1,0))</f>
        <v>0</v>
      </c>
      <c r="M376" s="189">
        <f>IF(Daten!$V376&lt;&gt;Daten!$W376,1,IF(Daten!$V376=16,1,0))</f>
        <v>0</v>
      </c>
      <c r="N376" s="189">
        <f>IF(Daten!$W376=17,1,0)</f>
        <v>0</v>
      </c>
      <c r="O376" s="190">
        <f ca="1">IF(Daten!$X376=Sprache!$A$70,1,0)</f>
        <v>0</v>
      </c>
      <c r="P376" s="191">
        <f>IF(AND(Daten!$AQ376&lt;=KINVARO!$AW$3,Daten!$AR376&gt;=KINVARO!$AW$3)=TRUE,1,0)</f>
        <v>1</v>
      </c>
      <c r="Q376" s="192">
        <f>IF(AND(Daten!$AA376&lt;=KINVARO!$AW$4,Daten!$AB376&gt;=KINVARO!$AW$4)=TRUE,1,0)</f>
        <v>0</v>
      </c>
      <c r="R376" s="192"/>
      <c r="S376" s="192">
        <f>IF(AND(Daten!$AD376&lt;=Limits!$I$70,Daten!$AE376&gt;=Limits!$I$70)=TRUE,1,0)</f>
        <v>0</v>
      </c>
      <c r="T376" s="193">
        <f ca="1">IF(Daten!$Y376=Sprache!$A$135,1,0)</f>
        <v>0</v>
      </c>
      <c r="U376" s="124" t="str">
        <f ca="1">Sprache!$A$67</f>
        <v>T-70 Поворотный подъемник</v>
      </c>
      <c r="V376" s="194">
        <v>13</v>
      </c>
      <c r="W376" s="193">
        <v>13</v>
      </c>
      <c r="X376" s="187" t="str">
        <f ca="1">Sprache!$A$141</f>
        <v>Alu</v>
      </c>
      <c r="Y376" s="187" t="str">
        <f ca="1">Sprache!$A$136</f>
        <v>nein</v>
      </c>
      <c r="Z376" s="187" t="str">
        <f ca="1">Sprache!$A$79</f>
        <v>Створка</v>
      </c>
      <c r="AA376" s="187">
        <v>300</v>
      </c>
      <c r="AB376" s="124">
        <v>349</v>
      </c>
      <c r="AC376" s="187"/>
      <c r="AD376" s="195">
        <v>2.1</v>
      </c>
      <c r="AE376" s="196">
        <v>7.4</v>
      </c>
      <c r="AF376" s="263" t="str">
        <f>MID(Tabelle2[[#This Row],[bnr full]],1,4)</f>
        <v>F151</v>
      </c>
      <c r="AG376" s="264" t="str">
        <f>MID(Tabelle2[[#This Row],[bnr full]],5,3)</f>
        <v>147</v>
      </c>
      <c r="AH376" s="265" t="str">
        <f>MID(Tabelle2[[#This Row],[bnr full]],8,3)</f>
        <v>688</v>
      </c>
      <c r="AI376" s="264" t="str">
        <f>MID(Tabelle2[[#This Row],[bnr full]],11,3)</f>
        <v>201</v>
      </c>
      <c r="AJ376" s="252" t="str">
        <f>MID(Tabelle2[[#This Row],[bnr full]],11,3)</f>
        <v>201</v>
      </c>
      <c r="AK376" s="197" t="s">
        <v>800</v>
      </c>
      <c r="AL376" s="124" t="str">
        <f ca="1">Sprache!$A$111</f>
        <v>Комплект (Л + П)</v>
      </c>
      <c r="AM376" s="187" t="s">
        <v>25</v>
      </c>
      <c r="AN376" s="187" t="str">
        <f ca="1">Sprache!$A$127</f>
        <v>Пружина, белая</v>
      </c>
      <c r="AO376" s="187" t="s">
        <v>25</v>
      </c>
      <c r="AP376" s="187" t="s">
        <v>25</v>
      </c>
      <c r="AQ376" s="187">
        <f>Limits!$K$9</f>
        <v>200</v>
      </c>
      <c r="AR376" s="124">
        <v>1200</v>
      </c>
      <c r="AS376" s="187"/>
      <c r="AT376" s="124"/>
      <c r="AU376"/>
      <c r="AV376"/>
      <c r="AY376"/>
      <c r="AZ376"/>
      <c r="BA376"/>
      <c r="BB376"/>
      <c r="BC376"/>
    </row>
    <row r="377" spans="1:55" s="5" customFormat="1" hidden="1" x14ac:dyDescent="0.25">
      <c r="A377" s="12" t="str">
        <f ca="1">IF(F377+G377+H377+I377+J377+D377+E377=3,IF(Tabelle2[[#This Row],[Kappe Weiß]]=Limits!$R$29,1,""),"")</f>
        <v/>
      </c>
      <c r="B377" s="12" t="str">
        <f ca="1">IF(G377+H377+I377+J377+E377+F377=2,IF(Tabelle2[[#This Row],[Kappe Weiß]]=Limits!$R$29,1,""),"")</f>
        <v/>
      </c>
      <c r="C377" s="291">
        <v>0</v>
      </c>
      <c r="D377" s="171">
        <f>IF(Limits!$P$7=TRUE,1,0)</f>
        <v>0</v>
      </c>
      <c r="E377" s="172">
        <f>IF(Daten!$P377+Daten!$Q377+Daten!$S377=3,1,0)</f>
        <v>0</v>
      </c>
      <c r="F377" s="173">
        <f ca="1">IF(AND(Limits!$Q$21=TRUE,Daten!O377=1)=TRUE,1,0)</f>
        <v>0</v>
      </c>
      <c r="G377" s="174">
        <f>IF(AND(Limits!$Q$25=TRUE,Daten!N377=1)=TRUE,1,0)</f>
        <v>0</v>
      </c>
      <c r="H377" s="174">
        <f>IF(AND(Limits!$Q$24=TRUE,Daten!M377=1)=TRUE,1,0)</f>
        <v>0</v>
      </c>
      <c r="I377" s="174">
        <f>IF(AND(Limits!$Q$23=TRUE,Daten!L377=1)=TRUE,1,0)</f>
        <v>0</v>
      </c>
      <c r="J377" s="174">
        <f>IF(AND(Limits!$Q$22=TRUE,Daten!K377=1)=TRUE,1,0)</f>
        <v>0</v>
      </c>
      <c r="K377" s="188">
        <f>IF(Daten!$V377=13,1,0)</f>
        <v>1</v>
      </c>
      <c r="L377" s="189">
        <f>IF(Daten!$V377&lt;&gt;Daten!$W377,1,IF(Daten!$V377=14,1,0))</f>
        <v>0</v>
      </c>
      <c r="M377" s="189">
        <f>IF(Daten!$V377&lt;&gt;Daten!$W377,1,IF(Daten!$V377=16,1,0))</f>
        <v>0</v>
      </c>
      <c r="N377" s="189">
        <f>IF(Daten!$W377=17,1,0)</f>
        <v>0</v>
      </c>
      <c r="O377" s="190">
        <f ca="1">IF(Daten!$X377=Sprache!$A$70,1,0)</f>
        <v>0</v>
      </c>
      <c r="P377" s="191">
        <f>IF(AND(Daten!$AQ377&lt;=KINVARO!$AW$3,Daten!$AR377&gt;=KINVARO!$AW$3)=TRUE,1,0)</f>
        <v>1</v>
      </c>
      <c r="Q377" s="192">
        <f>IF(AND(Daten!$AA377&lt;=KINVARO!$AW$4,Daten!$AB377&gt;=KINVARO!$AW$4)=TRUE,1,0)</f>
        <v>0</v>
      </c>
      <c r="R377" s="192"/>
      <c r="S377" s="192">
        <f>IF(AND(Daten!$AD377&lt;=Limits!$I$70,Daten!$AE377&gt;=Limits!$I$70)=TRUE,1,0)</f>
        <v>0</v>
      </c>
      <c r="T377" s="193">
        <f ca="1">IF(Daten!$Y377=Sprache!$A$135,1,0)</f>
        <v>0</v>
      </c>
      <c r="U377" s="124" t="str">
        <f ca="1">Sprache!$A$67</f>
        <v>T-70 Поворотный подъемник</v>
      </c>
      <c r="V377" s="194">
        <v>13</v>
      </c>
      <c r="W377" s="193">
        <v>13</v>
      </c>
      <c r="X377" s="187" t="str">
        <f ca="1">Sprache!$A$141</f>
        <v>Alu</v>
      </c>
      <c r="Y377" s="187" t="str">
        <f ca="1">Sprache!$A$136</f>
        <v>nein</v>
      </c>
      <c r="Z377" s="187" t="str">
        <f ca="1">Sprache!$A$79</f>
        <v>Створка</v>
      </c>
      <c r="AA377" s="187">
        <v>300</v>
      </c>
      <c r="AB377" s="124">
        <v>349</v>
      </c>
      <c r="AC377" s="187"/>
      <c r="AD377" s="195">
        <v>2.5</v>
      </c>
      <c r="AE377" s="196">
        <v>8.5</v>
      </c>
      <c r="AF377" s="263" t="str">
        <f>MID(Tabelle2[[#This Row],[bnr full]],1,4)</f>
        <v>F151</v>
      </c>
      <c r="AG377" s="264" t="str">
        <f>MID(Tabelle2[[#This Row],[bnr full]],5,3)</f>
        <v>147</v>
      </c>
      <c r="AH377" s="265" t="str">
        <f>MID(Tabelle2[[#This Row],[bnr full]],8,3)</f>
        <v>688</v>
      </c>
      <c r="AI377" s="264" t="str">
        <f>MID(Tabelle2[[#This Row],[bnr full]],11,3)</f>
        <v>201</v>
      </c>
      <c r="AJ377" s="252" t="str">
        <f>MID(Tabelle2[[#This Row],[bnr full]],11,3)</f>
        <v>201</v>
      </c>
      <c r="AK377" s="197" t="s">
        <v>800</v>
      </c>
      <c r="AL377" s="124" t="str">
        <f ca="1">Sprache!$A$111</f>
        <v>Комплект (Л + П)</v>
      </c>
      <c r="AM377" s="187" t="s">
        <v>25</v>
      </c>
      <c r="AN377" s="187" t="str">
        <f ca="1">Sprache!$A$128</f>
        <v>Пружина, оранжевая</v>
      </c>
      <c r="AO377" s="187" t="s">
        <v>25</v>
      </c>
      <c r="AP377" s="187" t="s">
        <v>25</v>
      </c>
      <c r="AQ377" s="187">
        <f>Limits!$K$9</f>
        <v>200</v>
      </c>
      <c r="AR377" s="124">
        <v>1200</v>
      </c>
      <c r="AS377" s="187"/>
      <c r="AT377" s="124"/>
    </row>
    <row r="378" spans="1:55" hidden="1" x14ac:dyDescent="0.25">
      <c r="A378" s="12" t="str">
        <f ca="1">IF(F378+G378+H378+I378+J378+D378+E378=3,IF(Tabelle2[[#This Row],[Kappe Weiß]]=Limits!$R$29,1,""),"")</f>
        <v/>
      </c>
      <c r="B378" s="12" t="str">
        <f ca="1">IF(G378+H378+I378+J378+E378+F378=2,IF(Tabelle2[[#This Row],[Kappe Weiß]]=Limits!$R$29,1,""),"")</f>
        <v/>
      </c>
      <c r="C378" s="291">
        <v>0</v>
      </c>
      <c r="D378" s="171">
        <f>IF(Limits!$P$7=TRUE,1,0)</f>
        <v>0</v>
      </c>
      <c r="E378" s="172">
        <f>IF(Daten!$P378+Daten!$Q378+Daten!$S378=3,1,0)</f>
        <v>0</v>
      </c>
      <c r="F378" s="173">
        <f ca="1">IF(AND(Limits!$Q$21=TRUE,Daten!O378=1)=TRUE,1,0)</f>
        <v>0</v>
      </c>
      <c r="G378" s="174">
        <f>IF(AND(Limits!$Q$25=TRUE,Daten!N378=1)=TRUE,1,0)</f>
        <v>0</v>
      </c>
      <c r="H378" s="174">
        <f>IF(AND(Limits!$Q$24=TRUE,Daten!M378=1)=TRUE,1,0)</f>
        <v>0</v>
      </c>
      <c r="I378" s="174">
        <f>IF(AND(Limits!$Q$23=TRUE,Daten!L378=1)=TRUE,1,0)</f>
        <v>0</v>
      </c>
      <c r="J378" s="174">
        <f>IF(AND(Limits!$Q$22=TRUE,Daten!K378=1)=TRUE,1,0)</f>
        <v>0</v>
      </c>
      <c r="K378" s="188">
        <f>IF(Daten!$V378=13,1,0)</f>
        <v>0</v>
      </c>
      <c r="L378" s="189">
        <f>IF(Daten!$V378&lt;&gt;Daten!$W378,1,IF(Daten!$V378=14,1,0))</f>
        <v>1</v>
      </c>
      <c r="M378" s="189">
        <f>IF(Daten!$V378&lt;&gt;Daten!$W378,1,IF(Daten!$V378=16,1,0))</f>
        <v>0</v>
      </c>
      <c r="N378" s="189">
        <f>IF(Daten!$W378=17,1,0)</f>
        <v>0</v>
      </c>
      <c r="O378" s="190">
        <f ca="1">IF(Daten!$X378=Sprache!$A$70,1,0)</f>
        <v>0</v>
      </c>
      <c r="P378" s="191">
        <f>IF(AND(Daten!$AQ378&lt;=KINVARO!$AW$3,Daten!$AR378&gt;=KINVARO!$AW$3)=TRUE,1,0)</f>
        <v>1</v>
      </c>
      <c r="Q378" s="192">
        <f>IF(AND(Daten!$AA378&lt;=KINVARO!$AW$4,Daten!$AB378&gt;=KINVARO!$AW$4)=TRUE,1,0)</f>
        <v>0</v>
      </c>
      <c r="R378" s="192"/>
      <c r="S378" s="192">
        <f>IF(AND(Daten!$AD378&lt;=Limits!$I$70,Daten!$AE378&gt;=Limits!$I$70)=TRUE,1,0)</f>
        <v>0</v>
      </c>
      <c r="T378" s="193">
        <f ca="1">IF(Daten!$Y378=Sprache!$A$135,1,0)</f>
        <v>0</v>
      </c>
      <c r="U378" s="124" t="str">
        <f ca="1">Sprache!$A$67</f>
        <v>T-70 Поворотный подъемник</v>
      </c>
      <c r="V378" s="194">
        <v>14</v>
      </c>
      <c r="W378" s="193">
        <v>14</v>
      </c>
      <c r="X378" s="187" t="str">
        <f ca="1">Sprache!$A$141</f>
        <v>Alu</v>
      </c>
      <c r="Y378" s="187" t="str">
        <f ca="1">Sprache!$A$136</f>
        <v>nein</v>
      </c>
      <c r="Z378" s="187" t="str">
        <f ca="1">Sprache!$A$79</f>
        <v>Створка</v>
      </c>
      <c r="AA378" s="187">
        <v>300</v>
      </c>
      <c r="AB378" s="124">
        <v>349</v>
      </c>
      <c r="AC378" s="187"/>
      <c r="AD378" s="195">
        <v>2.1</v>
      </c>
      <c r="AE378" s="196">
        <v>7.4</v>
      </c>
      <c r="AF378" s="263" t="str">
        <f>MID(Tabelle2[[#This Row],[bnr full]],1,4)</f>
        <v>F151</v>
      </c>
      <c r="AG378" s="264" t="str">
        <f>MID(Tabelle2[[#This Row],[bnr full]],5,3)</f>
        <v>147</v>
      </c>
      <c r="AH378" s="265" t="str">
        <f>MID(Tabelle2[[#This Row],[bnr full]],8,3)</f>
        <v>689</v>
      </c>
      <c r="AI378" s="264" t="str">
        <f>MID(Tabelle2[[#This Row],[bnr full]],11,3)</f>
        <v>201</v>
      </c>
      <c r="AJ378" s="252" t="str">
        <f>MID(Tabelle2[[#This Row],[bnr full]],11,3)</f>
        <v>201</v>
      </c>
      <c r="AK378" s="197" t="s">
        <v>801</v>
      </c>
      <c r="AL378" s="124" t="str">
        <f ca="1">Sprache!$A$111</f>
        <v>Комплект (Л + П)</v>
      </c>
      <c r="AM378" s="187" t="s">
        <v>25</v>
      </c>
      <c r="AN378" s="187" t="str">
        <f ca="1">Sprache!$A$127</f>
        <v>Пружина, белая</v>
      </c>
      <c r="AO378" s="187" t="s">
        <v>25</v>
      </c>
      <c r="AP378" s="187" t="s">
        <v>25</v>
      </c>
      <c r="AQ378" s="187">
        <f>Limits!$K$9</f>
        <v>200</v>
      </c>
      <c r="AR378" s="124">
        <v>1200</v>
      </c>
      <c r="AS378" s="187"/>
      <c r="AT378" s="124"/>
      <c r="AU378"/>
      <c r="AV378"/>
      <c r="AY378"/>
      <c r="AZ378"/>
      <c r="BA378"/>
      <c r="BB378"/>
      <c r="BC378"/>
    </row>
    <row r="379" spans="1:55" hidden="1" x14ac:dyDescent="0.25">
      <c r="A379" s="12" t="str">
        <f ca="1">IF(F379+G379+H379+I379+J379+D379+E379=3,IF(Tabelle2[[#This Row],[Kappe Weiß]]=Limits!$R$29,1,""),"")</f>
        <v/>
      </c>
      <c r="B379" s="12" t="str">
        <f ca="1">IF(G379+H379+I379+J379+E379+F379=2,IF(Tabelle2[[#This Row],[Kappe Weiß]]=Limits!$R$29,1,""),"")</f>
        <v/>
      </c>
      <c r="C379" s="291">
        <v>0</v>
      </c>
      <c r="D379" s="171">
        <f>IF(Limits!$P$7=TRUE,1,0)</f>
        <v>0</v>
      </c>
      <c r="E379" s="172">
        <f>IF(Daten!$P379+Daten!$Q379+Daten!$S379=3,1,0)</f>
        <v>0</v>
      </c>
      <c r="F379" s="173">
        <f ca="1">IF(AND(Limits!$Q$21=TRUE,Daten!O379=1)=TRUE,1,0)</f>
        <v>0</v>
      </c>
      <c r="G379" s="174">
        <f>IF(AND(Limits!$Q$25=TRUE,Daten!N379=1)=TRUE,1,0)</f>
        <v>0</v>
      </c>
      <c r="H379" s="174">
        <f>IF(AND(Limits!$Q$24=TRUE,Daten!M379=1)=TRUE,1,0)</f>
        <v>0</v>
      </c>
      <c r="I379" s="174">
        <f>IF(AND(Limits!$Q$23=TRUE,Daten!L379=1)=TRUE,1,0)</f>
        <v>0</v>
      </c>
      <c r="J379" s="174">
        <f>IF(AND(Limits!$Q$22=TRUE,Daten!K379=1)=TRUE,1,0)</f>
        <v>0</v>
      </c>
      <c r="K379" s="188">
        <f>IF(Daten!$V379=13,1,0)</f>
        <v>0</v>
      </c>
      <c r="L379" s="189">
        <f>IF(Daten!$V379&lt;&gt;Daten!$W379,1,IF(Daten!$V379=14,1,0))</f>
        <v>1</v>
      </c>
      <c r="M379" s="189">
        <f>IF(Daten!$V379&lt;&gt;Daten!$W379,1,IF(Daten!$V379=16,1,0))</f>
        <v>0</v>
      </c>
      <c r="N379" s="189">
        <f>IF(Daten!$W379=17,1,0)</f>
        <v>0</v>
      </c>
      <c r="O379" s="190">
        <f ca="1">IF(Daten!$X379=Sprache!$A$70,1,0)</f>
        <v>0</v>
      </c>
      <c r="P379" s="191">
        <f>IF(AND(Daten!$AQ379&lt;=KINVARO!$AW$3,Daten!$AR379&gt;=KINVARO!$AW$3)=TRUE,1,0)</f>
        <v>1</v>
      </c>
      <c r="Q379" s="192">
        <f>IF(AND(Daten!$AA379&lt;=KINVARO!$AW$4,Daten!$AB379&gt;=KINVARO!$AW$4)=TRUE,1,0)</f>
        <v>0</v>
      </c>
      <c r="R379" s="192"/>
      <c r="S379" s="192">
        <f>IF(AND(Daten!$AD379&lt;=Limits!$I$70,Daten!$AE379&gt;=Limits!$I$70)=TRUE,1,0)</f>
        <v>0</v>
      </c>
      <c r="T379" s="193">
        <f ca="1">IF(Daten!$Y379=Sprache!$A$135,1,0)</f>
        <v>0</v>
      </c>
      <c r="U379" s="124" t="str">
        <f ca="1">Sprache!$A$67</f>
        <v>T-70 Поворотный подъемник</v>
      </c>
      <c r="V379" s="194">
        <v>14</v>
      </c>
      <c r="W379" s="193">
        <v>14</v>
      </c>
      <c r="X379" s="187" t="str">
        <f ca="1">Sprache!$A$141</f>
        <v>Alu</v>
      </c>
      <c r="Y379" s="187" t="str">
        <f ca="1">Sprache!$A$136</f>
        <v>nein</v>
      </c>
      <c r="Z379" s="187" t="str">
        <f ca="1">Sprache!$A$79</f>
        <v>Створка</v>
      </c>
      <c r="AA379" s="187">
        <v>300</v>
      </c>
      <c r="AB379" s="124">
        <v>349</v>
      </c>
      <c r="AC379" s="187"/>
      <c r="AD379" s="195">
        <v>2.5</v>
      </c>
      <c r="AE379" s="196">
        <v>8.5</v>
      </c>
      <c r="AF379" s="263" t="str">
        <f>MID(Tabelle2[[#This Row],[bnr full]],1,4)</f>
        <v>F151</v>
      </c>
      <c r="AG379" s="264" t="str">
        <f>MID(Tabelle2[[#This Row],[bnr full]],5,3)</f>
        <v>147</v>
      </c>
      <c r="AH379" s="265" t="str">
        <f>MID(Tabelle2[[#This Row],[bnr full]],8,3)</f>
        <v>689</v>
      </c>
      <c r="AI379" s="264" t="str">
        <f>MID(Tabelle2[[#This Row],[bnr full]],11,3)</f>
        <v>201</v>
      </c>
      <c r="AJ379" s="252" t="str">
        <f>MID(Tabelle2[[#This Row],[bnr full]],11,3)</f>
        <v>201</v>
      </c>
      <c r="AK379" s="197" t="s">
        <v>801</v>
      </c>
      <c r="AL379" s="124" t="str">
        <f ca="1">Sprache!$A$111</f>
        <v>Комплект (Л + П)</v>
      </c>
      <c r="AM379" s="187" t="s">
        <v>25</v>
      </c>
      <c r="AN379" s="187" t="str">
        <f ca="1">Sprache!$A$128</f>
        <v>Пружина, оранжевая</v>
      </c>
      <c r="AO379" s="187" t="s">
        <v>25</v>
      </c>
      <c r="AP379" s="187" t="s">
        <v>25</v>
      </c>
      <c r="AQ379" s="187">
        <f>Limits!$K$9</f>
        <v>200</v>
      </c>
      <c r="AR379" s="124">
        <v>1200</v>
      </c>
      <c r="AS379" s="187"/>
      <c r="AT379" s="124"/>
      <c r="AU379"/>
      <c r="AV379"/>
      <c r="AY379"/>
      <c r="AZ379"/>
      <c r="BA379"/>
      <c r="BB379"/>
      <c r="BC379"/>
    </row>
    <row r="380" spans="1:55" hidden="1" x14ac:dyDescent="0.25">
      <c r="A380" s="12" t="str">
        <f ca="1">IF(F380+G380+H380+I380+J380+D380+E380=3,IF(Tabelle2[[#This Row],[Kappe Weiß]]=Limits!$R$29,1,""),"")</f>
        <v/>
      </c>
      <c r="B380" s="12" t="str">
        <f ca="1">IF(G380+H380+I380+J380+E380+F380=2,IF(Tabelle2[[#This Row],[Kappe Weiß]]=Limits!$R$29,1,""),"")</f>
        <v/>
      </c>
      <c r="C380" s="291">
        <v>0</v>
      </c>
      <c r="D380" s="171">
        <f>IF(Limits!$P$7=TRUE,1,0)</f>
        <v>0</v>
      </c>
      <c r="E380" s="172">
        <f>IF(Daten!$P380+Daten!$Q380+Daten!$S380=3,1,0)</f>
        <v>0</v>
      </c>
      <c r="F380" s="173">
        <f ca="1">IF(AND(Limits!$Q$21=TRUE,Daten!O380=1)=TRUE,1,0)</f>
        <v>0</v>
      </c>
      <c r="G380" s="174">
        <f>IF(AND(Limits!$Q$25=TRUE,Daten!N380=1)=TRUE,1,0)</f>
        <v>0</v>
      </c>
      <c r="H380" s="174">
        <f>IF(AND(Limits!$Q$24=TRUE,Daten!M380=1)=TRUE,1,0)</f>
        <v>0</v>
      </c>
      <c r="I380" s="174">
        <f>IF(AND(Limits!$Q$23=TRUE,Daten!L380=1)=TRUE,1,0)</f>
        <v>0</v>
      </c>
      <c r="J380" s="174">
        <f>IF(AND(Limits!$Q$22=TRUE,Daten!K380=1)=TRUE,1,0)</f>
        <v>0</v>
      </c>
      <c r="K380" s="188">
        <f>IF(Daten!$V380=13,1,0)</f>
        <v>0</v>
      </c>
      <c r="L380" s="189">
        <f>IF(Daten!$V380&lt;&gt;Daten!$W380,1,IF(Daten!$V380=14,1,0))</f>
        <v>0</v>
      </c>
      <c r="M380" s="189">
        <f>IF(Daten!$V380&lt;&gt;Daten!$W380,1,IF(Daten!$V380=16,1,0))</f>
        <v>1</v>
      </c>
      <c r="N380" s="189">
        <f>IF(Daten!$W380=17,1,0)</f>
        <v>0</v>
      </c>
      <c r="O380" s="190">
        <f ca="1">IF(Daten!$X380=Sprache!$A$70,1,0)</f>
        <v>0</v>
      </c>
      <c r="P380" s="191">
        <f>IF(AND(Daten!$AQ380&lt;=KINVARO!$AW$3,Daten!$AR380&gt;=KINVARO!$AW$3)=TRUE,1,0)</f>
        <v>1</v>
      </c>
      <c r="Q380" s="192">
        <f>IF(AND(Daten!$AA380&lt;=KINVARO!$AW$4,Daten!$AB380&gt;=KINVARO!$AW$4)=TRUE,1,0)</f>
        <v>0</v>
      </c>
      <c r="R380" s="192"/>
      <c r="S380" s="192">
        <f>IF(AND(Daten!$AD380&lt;=Limits!$I$70,Daten!$AE380&gt;=Limits!$I$70)=TRUE,1,0)</f>
        <v>0</v>
      </c>
      <c r="T380" s="193">
        <f ca="1">IF(Daten!$Y380=Sprache!$A$135,1,0)</f>
        <v>0</v>
      </c>
      <c r="U380" s="124" t="str">
        <f ca="1">Sprache!$A$67</f>
        <v>T-70 Поворотный подъемник</v>
      </c>
      <c r="V380" s="194">
        <v>16</v>
      </c>
      <c r="W380" s="193">
        <v>16</v>
      </c>
      <c r="X380" s="187" t="str">
        <f ca="1">Sprache!$A$141</f>
        <v>Alu</v>
      </c>
      <c r="Y380" s="187" t="str">
        <f ca="1">Sprache!$A$136</f>
        <v>nein</v>
      </c>
      <c r="Z380" s="187" t="str">
        <f ca="1">Sprache!$A$79</f>
        <v>Створка</v>
      </c>
      <c r="AA380" s="187">
        <v>300</v>
      </c>
      <c r="AB380" s="124">
        <v>349</v>
      </c>
      <c r="AC380" s="187"/>
      <c r="AD380" s="195">
        <v>2.1</v>
      </c>
      <c r="AE380" s="196">
        <v>7.4</v>
      </c>
      <c r="AF380" s="263" t="str">
        <f>MID(Tabelle2[[#This Row],[bnr full]],1,4)</f>
        <v>F151</v>
      </c>
      <c r="AG380" s="264" t="str">
        <f>MID(Tabelle2[[#This Row],[bnr full]],5,3)</f>
        <v>147</v>
      </c>
      <c r="AH380" s="265" t="str">
        <f>MID(Tabelle2[[#This Row],[bnr full]],8,3)</f>
        <v>690</v>
      </c>
      <c r="AI380" s="264" t="str">
        <f>MID(Tabelle2[[#This Row],[bnr full]],11,3)</f>
        <v>201</v>
      </c>
      <c r="AJ380" s="252" t="str">
        <f>MID(Tabelle2[[#This Row],[bnr full]],11,3)</f>
        <v>201</v>
      </c>
      <c r="AK380" s="197" t="s">
        <v>802</v>
      </c>
      <c r="AL380" s="124" t="str">
        <f ca="1">Sprache!$A$111</f>
        <v>Комплект (Л + П)</v>
      </c>
      <c r="AM380" s="187" t="s">
        <v>25</v>
      </c>
      <c r="AN380" s="187" t="str">
        <f ca="1">Sprache!$A$127</f>
        <v>Пружина, белая</v>
      </c>
      <c r="AO380" s="187" t="s">
        <v>25</v>
      </c>
      <c r="AP380" s="187" t="s">
        <v>25</v>
      </c>
      <c r="AQ380" s="187">
        <f>Limits!$K$9</f>
        <v>200</v>
      </c>
      <c r="AR380" s="124">
        <v>1200</v>
      </c>
      <c r="AS380" s="187"/>
      <c r="AT380" s="124"/>
      <c r="AU380"/>
      <c r="AV380"/>
      <c r="AY380"/>
      <c r="AZ380"/>
      <c r="BA380"/>
      <c r="BB380"/>
      <c r="BC380"/>
    </row>
    <row r="381" spans="1:55" hidden="1" x14ac:dyDescent="0.25">
      <c r="A381" s="12" t="str">
        <f ca="1">IF(F381+G381+H381+I381+J381+D381+E381=3,IF(Tabelle2[[#This Row],[Kappe Weiß]]=Limits!$R$29,1,""),"")</f>
        <v/>
      </c>
      <c r="B381" s="12" t="str">
        <f ca="1">IF(G381+H381+I381+J381+E381+F381=2,IF(Tabelle2[[#This Row],[Kappe Weiß]]=Limits!$R$29,1,""),"")</f>
        <v/>
      </c>
      <c r="C381" s="291">
        <v>0</v>
      </c>
      <c r="D381" s="171">
        <f>IF(Limits!$P$7=TRUE,1,0)</f>
        <v>0</v>
      </c>
      <c r="E381" s="172">
        <f>IF(Daten!$P381+Daten!$Q381+Daten!$S381=3,1,0)</f>
        <v>0</v>
      </c>
      <c r="F381" s="173">
        <f ca="1">IF(AND(Limits!$Q$21=TRUE,Daten!O381=1)=TRUE,1,0)</f>
        <v>0</v>
      </c>
      <c r="G381" s="174">
        <f>IF(AND(Limits!$Q$25=TRUE,Daten!N381=1)=TRUE,1,0)</f>
        <v>0</v>
      </c>
      <c r="H381" s="174">
        <f>IF(AND(Limits!$Q$24=TRUE,Daten!M381=1)=TRUE,1,0)</f>
        <v>0</v>
      </c>
      <c r="I381" s="174">
        <f>IF(AND(Limits!$Q$23=TRUE,Daten!L381=1)=TRUE,1,0)</f>
        <v>0</v>
      </c>
      <c r="J381" s="174">
        <f>IF(AND(Limits!$Q$22=TRUE,Daten!K381=1)=TRUE,1,0)</f>
        <v>0</v>
      </c>
      <c r="K381" s="188">
        <f>IF(Daten!$V381=13,1,0)</f>
        <v>0</v>
      </c>
      <c r="L381" s="189">
        <f>IF(Daten!$V381&lt;&gt;Daten!$W381,1,IF(Daten!$V381=14,1,0))</f>
        <v>0</v>
      </c>
      <c r="M381" s="189">
        <f>IF(Daten!$V381&lt;&gt;Daten!$W381,1,IF(Daten!$V381=16,1,0))</f>
        <v>1</v>
      </c>
      <c r="N381" s="189">
        <f>IF(Daten!$W381=17,1,0)</f>
        <v>0</v>
      </c>
      <c r="O381" s="190">
        <f ca="1">IF(Daten!$X381=Sprache!$A$70,1,0)</f>
        <v>0</v>
      </c>
      <c r="P381" s="191">
        <f>IF(AND(Daten!$AQ381&lt;=KINVARO!$AW$3,Daten!$AR381&gt;=KINVARO!$AW$3)=TRUE,1,0)</f>
        <v>1</v>
      </c>
      <c r="Q381" s="192">
        <f>IF(AND(Daten!$AA381&lt;=KINVARO!$AW$4,Daten!$AB381&gt;=KINVARO!$AW$4)=TRUE,1,0)</f>
        <v>0</v>
      </c>
      <c r="R381" s="192"/>
      <c r="S381" s="192">
        <f>IF(AND(Daten!$AD381&lt;=Limits!$I$70,Daten!$AE381&gt;=Limits!$I$70)=TRUE,1,0)</f>
        <v>0</v>
      </c>
      <c r="T381" s="193">
        <f ca="1">IF(Daten!$Y381=Sprache!$A$135,1,0)</f>
        <v>0</v>
      </c>
      <c r="U381" s="124" t="str">
        <f ca="1">Sprache!$A$67</f>
        <v>T-70 Поворотный подъемник</v>
      </c>
      <c r="V381" s="194">
        <v>16</v>
      </c>
      <c r="W381" s="193">
        <v>16</v>
      </c>
      <c r="X381" s="187" t="str">
        <f ca="1">Sprache!$A$141</f>
        <v>Alu</v>
      </c>
      <c r="Y381" s="187" t="str">
        <f ca="1">Sprache!$A$136</f>
        <v>nein</v>
      </c>
      <c r="Z381" s="187" t="str">
        <f ca="1">Sprache!$A$79</f>
        <v>Створка</v>
      </c>
      <c r="AA381" s="187">
        <v>300</v>
      </c>
      <c r="AB381" s="124">
        <v>349</v>
      </c>
      <c r="AC381" s="187"/>
      <c r="AD381" s="195">
        <v>2.5</v>
      </c>
      <c r="AE381" s="196">
        <v>8.5</v>
      </c>
      <c r="AF381" s="263" t="str">
        <f>MID(Tabelle2[[#This Row],[bnr full]],1,4)</f>
        <v>F151</v>
      </c>
      <c r="AG381" s="264" t="str">
        <f>MID(Tabelle2[[#This Row],[bnr full]],5,3)</f>
        <v>147</v>
      </c>
      <c r="AH381" s="265" t="str">
        <f>MID(Tabelle2[[#This Row],[bnr full]],8,3)</f>
        <v>690</v>
      </c>
      <c r="AI381" s="264" t="str">
        <f>MID(Tabelle2[[#This Row],[bnr full]],11,3)</f>
        <v>201</v>
      </c>
      <c r="AJ381" s="252" t="str">
        <f>MID(Tabelle2[[#This Row],[bnr full]],11,3)</f>
        <v>201</v>
      </c>
      <c r="AK381" s="197" t="s">
        <v>802</v>
      </c>
      <c r="AL381" s="124" t="str">
        <f ca="1">Sprache!$A$111</f>
        <v>Комплект (Л + П)</v>
      </c>
      <c r="AM381" s="187" t="s">
        <v>25</v>
      </c>
      <c r="AN381" s="187" t="str">
        <f ca="1">Sprache!$A$128</f>
        <v>Пружина, оранжевая</v>
      </c>
      <c r="AO381" s="187" t="s">
        <v>25</v>
      </c>
      <c r="AP381" s="187" t="s">
        <v>25</v>
      </c>
      <c r="AQ381" s="187">
        <f>Limits!$K$9</f>
        <v>200</v>
      </c>
      <c r="AR381" s="124">
        <v>1200</v>
      </c>
      <c r="AS381" s="187"/>
      <c r="AT381" s="124"/>
      <c r="AU381"/>
      <c r="AV381"/>
      <c r="AY381"/>
      <c r="AZ381"/>
      <c r="BA381"/>
      <c r="BB381"/>
      <c r="BC381"/>
    </row>
    <row r="382" spans="1:55" hidden="1" x14ac:dyDescent="0.25">
      <c r="A382" s="12" t="str">
        <f ca="1">IF(F382+G382+H382+I382+J382+D382+E382=3,IF(Tabelle2[[#This Row],[Kappe Weiß]]=Limits!$R$29,1,""),"")</f>
        <v/>
      </c>
      <c r="B382" s="12" t="str">
        <f ca="1">IF(G382+H382+I382+J382+E382+F382=2,IF(Tabelle2[[#This Row],[Kappe Weiß]]=Limits!$R$29,1,""),"")</f>
        <v/>
      </c>
      <c r="C382" s="291">
        <v>0</v>
      </c>
      <c r="D382" s="171">
        <f>IF(Limits!$P$7=TRUE,1,0)</f>
        <v>0</v>
      </c>
      <c r="E382" s="172">
        <f>IF(Daten!$P382+Daten!$Q382+Daten!$S382=3,1,0)</f>
        <v>0</v>
      </c>
      <c r="F382" s="173">
        <f ca="1">IF(AND(Limits!$Q$21=TRUE,Daten!O382=1)=TRUE,1,0)</f>
        <v>0</v>
      </c>
      <c r="G382" s="174">
        <f>IF(AND(Limits!$Q$25=TRUE,Daten!N382=1)=TRUE,1,0)</f>
        <v>0</v>
      </c>
      <c r="H382" s="174">
        <f>IF(AND(Limits!$Q$24=TRUE,Daten!M382=1)=TRUE,1,0)</f>
        <v>0</v>
      </c>
      <c r="I382" s="174">
        <f>IF(AND(Limits!$Q$23=TRUE,Daten!L382=1)=TRUE,1,0)</f>
        <v>0</v>
      </c>
      <c r="J382" s="174">
        <f>IF(AND(Limits!$Q$22=TRUE,Daten!K382=1)=TRUE,1,0)</f>
        <v>0</v>
      </c>
      <c r="K382" s="188">
        <f>IF(Daten!$V382=13,1,0)</f>
        <v>0</v>
      </c>
      <c r="L382" s="189">
        <f>IF(Daten!$V382&lt;&gt;Daten!$W382,1,IF(Daten!$V382=14,1,0))</f>
        <v>0</v>
      </c>
      <c r="M382" s="189">
        <f>IF(Daten!$V382&lt;&gt;Daten!$W382,1,IF(Daten!$V382=16,1,0))</f>
        <v>0</v>
      </c>
      <c r="N382" s="189">
        <f>IF(Daten!$W382=17,1,0)</f>
        <v>1</v>
      </c>
      <c r="O382" s="190">
        <f ca="1">IF(Daten!$X382=Sprache!$A$70,1,0)</f>
        <v>0</v>
      </c>
      <c r="P382" s="191">
        <f>IF(AND(Daten!$AQ382&lt;=KINVARO!$AW$3,Daten!$AR382&gt;=KINVARO!$AW$3)=TRUE,1,0)</f>
        <v>1</v>
      </c>
      <c r="Q382" s="192">
        <f>IF(AND(Daten!$AA382&lt;=KINVARO!$AW$4,Daten!$AB382&gt;=KINVARO!$AW$4)=TRUE,1,0)</f>
        <v>0</v>
      </c>
      <c r="R382" s="192"/>
      <c r="S382" s="192">
        <f>IF(AND(Daten!$AD382&lt;=Limits!$I$70,Daten!$AE382&gt;=Limits!$I$70)=TRUE,1,0)</f>
        <v>0</v>
      </c>
      <c r="T382" s="193">
        <f ca="1">IF(Daten!$Y382=Sprache!$A$135,1,0)</f>
        <v>0</v>
      </c>
      <c r="U382" s="124" t="str">
        <f ca="1">Sprache!$A$67</f>
        <v>T-70 Поворотный подъемник</v>
      </c>
      <c r="V382" s="194">
        <v>17</v>
      </c>
      <c r="W382" s="193">
        <v>17</v>
      </c>
      <c r="X382" s="187" t="str">
        <f ca="1">Sprache!$A$141</f>
        <v>Alu</v>
      </c>
      <c r="Y382" s="187" t="str">
        <f ca="1">Sprache!$A$136</f>
        <v>nein</v>
      </c>
      <c r="Z382" s="187" t="str">
        <f ca="1">Sprache!$A$79</f>
        <v>Створка</v>
      </c>
      <c r="AA382" s="187">
        <v>300</v>
      </c>
      <c r="AB382" s="124">
        <v>349</v>
      </c>
      <c r="AC382" s="187"/>
      <c r="AD382" s="195">
        <v>2.1</v>
      </c>
      <c r="AE382" s="196">
        <v>7.4</v>
      </c>
      <c r="AF382" s="263" t="str">
        <f>MID(Tabelle2[[#This Row],[bnr full]],1,4)</f>
        <v>F151</v>
      </c>
      <c r="AG382" s="264" t="str">
        <f>MID(Tabelle2[[#This Row],[bnr full]],5,3)</f>
        <v>147</v>
      </c>
      <c r="AH382" s="265" t="str">
        <f>MID(Tabelle2[[#This Row],[bnr full]],8,3)</f>
        <v>691</v>
      </c>
      <c r="AI382" s="264" t="str">
        <f>MID(Tabelle2[[#This Row],[bnr full]],11,3)</f>
        <v>201</v>
      </c>
      <c r="AJ382" s="252" t="str">
        <f>MID(Tabelle2[[#This Row],[bnr full]],11,3)</f>
        <v>201</v>
      </c>
      <c r="AK382" s="197" t="s">
        <v>803</v>
      </c>
      <c r="AL382" s="124" t="str">
        <f ca="1">Sprache!$A$111</f>
        <v>Комплект (Л + П)</v>
      </c>
      <c r="AM382" s="187" t="s">
        <v>25</v>
      </c>
      <c r="AN382" s="187" t="str">
        <f ca="1">Sprache!$A$127</f>
        <v>Пружина, белая</v>
      </c>
      <c r="AO382" s="187" t="s">
        <v>25</v>
      </c>
      <c r="AP382" s="187" t="s">
        <v>25</v>
      </c>
      <c r="AQ382" s="187">
        <f>Limits!$K$9</f>
        <v>200</v>
      </c>
      <c r="AR382" s="124">
        <v>1200</v>
      </c>
      <c r="AS382" s="187"/>
      <c r="AT382" s="124"/>
      <c r="AU382"/>
      <c r="AV382"/>
      <c r="AY382"/>
      <c r="AZ382"/>
      <c r="BA382"/>
      <c r="BB382"/>
      <c r="BC382"/>
    </row>
    <row r="383" spans="1:55" s="5" customFormat="1" hidden="1" x14ac:dyDescent="0.25">
      <c r="A383" s="12" t="str">
        <f ca="1">IF(F383+G383+H383+I383+J383+D383+E383=3,IF(Tabelle2[[#This Row],[Kappe Weiß]]=Limits!$R$29,1,""),"")</f>
        <v/>
      </c>
      <c r="B383" s="12" t="str">
        <f ca="1">IF(G383+H383+I383+J383+E383+F383=2,IF(Tabelle2[[#This Row],[Kappe Weiß]]=Limits!$R$29,1,""),"")</f>
        <v/>
      </c>
      <c r="C383" s="291">
        <v>0</v>
      </c>
      <c r="D383" s="171">
        <f>IF(Limits!$P$7=TRUE,1,0)</f>
        <v>0</v>
      </c>
      <c r="E383" s="172">
        <f>IF(Daten!$P383+Daten!$Q383+Daten!$S383=3,1,0)</f>
        <v>0</v>
      </c>
      <c r="F383" s="173">
        <f ca="1">IF(AND(Limits!$Q$21=TRUE,Daten!O383=1)=TRUE,1,0)</f>
        <v>0</v>
      </c>
      <c r="G383" s="174">
        <f>IF(AND(Limits!$Q$25=TRUE,Daten!N383=1)=TRUE,1,0)</f>
        <v>0</v>
      </c>
      <c r="H383" s="174">
        <f>IF(AND(Limits!$Q$24=TRUE,Daten!M383=1)=TRUE,1,0)</f>
        <v>0</v>
      </c>
      <c r="I383" s="174">
        <f>IF(AND(Limits!$Q$23=TRUE,Daten!L383=1)=TRUE,1,0)</f>
        <v>0</v>
      </c>
      <c r="J383" s="174">
        <f>IF(AND(Limits!$Q$22=TRUE,Daten!K383=1)=TRUE,1,0)</f>
        <v>0</v>
      </c>
      <c r="K383" s="188">
        <f>IF(Daten!$V383=13,1,0)</f>
        <v>0</v>
      </c>
      <c r="L383" s="189">
        <f>IF(Daten!$V383&lt;&gt;Daten!$W383,1,IF(Daten!$V383=14,1,0))</f>
        <v>0</v>
      </c>
      <c r="M383" s="189">
        <f>IF(Daten!$V383&lt;&gt;Daten!$W383,1,IF(Daten!$V383=16,1,0))</f>
        <v>0</v>
      </c>
      <c r="N383" s="189">
        <f>IF(Daten!$W383=17,1,0)</f>
        <v>1</v>
      </c>
      <c r="O383" s="190">
        <f ca="1">IF(Daten!$X383=Sprache!$A$70,1,0)</f>
        <v>0</v>
      </c>
      <c r="P383" s="191">
        <f>IF(AND(Daten!$AQ383&lt;=KINVARO!$AW$3,Daten!$AR383&gt;=KINVARO!$AW$3)=TRUE,1,0)</f>
        <v>1</v>
      </c>
      <c r="Q383" s="192">
        <f>IF(AND(Daten!$AA383&lt;=KINVARO!$AW$4,Daten!$AB383&gt;=KINVARO!$AW$4)=TRUE,1,0)</f>
        <v>0</v>
      </c>
      <c r="R383" s="192"/>
      <c r="S383" s="192">
        <f>IF(AND(Daten!$AD383&lt;=Limits!$I$70,Daten!$AE383&gt;=Limits!$I$70)=TRUE,1,0)</f>
        <v>0</v>
      </c>
      <c r="T383" s="193">
        <f ca="1">IF(Daten!$Y383=Sprache!$A$135,1,0)</f>
        <v>0</v>
      </c>
      <c r="U383" s="124" t="str">
        <f ca="1">Sprache!$A$67</f>
        <v>T-70 Поворотный подъемник</v>
      </c>
      <c r="V383" s="194">
        <v>17</v>
      </c>
      <c r="W383" s="193">
        <v>17</v>
      </c>
      <c r="X383" s="187" t="str">
        <f ca="1">Sprache!$A$141</f>
        <v>Alu</v>
      </c>
      <c r="Y383" s="187" t="str">
        <f ca="1">Sprache!$A$136</f>
        <v>nein</v>
      </c>
      <c r="Z383" s="187" t="str">
        <f ca="1">Sprache!$A$79</f>
        <v>Створка</v>
      </c>
      <c r="AA383" s="187">
        <v>300</v>
      </c>
      <c r="AB383" s="124">
        <v>349</v>
      </c>
      <c r="AC383" s="187"/>
      <c r="AD383" s="195">
        <v>2.5</v>
      </c>
      <c r="AE383" s="196">
        <v>8.5</v>
      </c>
      <c r="AF383" s="263" t="str">
        <f>MID(Tabelle2[[#This Row],[bnr full]],1,4)</f>
        <v>F151</v>
      </c>
      <c r="AG383" s="264" t="str">
        <f>MID(Tabelle2[[#This Row],[bnr full]],5,3)</f>
        <v>147</v>
      </c>
      <c r="AH383" s="265" t="str">
        <f>MID(Tabelle2[[#This Row],[bnr full]],8,3)</f>
        <v>691</v>
      </c>
      <c r="AI383" s="264" t="str">
        <f>MID(Tabelle2[[#This Row],[bnr full]],11,3)</f>
        <v>201</v>
      </c>
      <c r="AJ383" s="252" t="str">
        <f>MID(Tabelle2[[#This Row],[bnr full]],11,3)</f>
        <v>201</v>
      </c>
      <c r="AK383" s="197" t="s">
        <v>803</v>
      </c>
      <c r="AL383" s="124" t="str">
        <f ca="1">Sprache!$A$111</f>
        <v>Комплект (Л + П)</v>
      </c>
      <c r="AM383" s="187" t="s">
        <v>25</v>
      </c>
      <c r="AN383" s="187" t="str">
        <f ca="1">Sprache!$A$128</f>
        <v>Пружина, оранжевая</v>
      </c>
      <c r="AO383" s="187" t="s">
        <v>25</v>
      </c>
      <c r="AP383" s="187" t="s">
        <v>25</v>
      </c>
      <c r="AQ383" s="187">
        <f>Limits!$K$9</f>
        <v>200</v>
      </c>
      <c r="AR383" s="124">
        <v>1200</v>
      </c>
      <c r="AS383" s="187"/>
      <c r="AT383" s="124"/>
    </row>
    <row r="384" spans="1:55" hidden="1" x14ac:dyDescent="0.25">
      <c r="A384" s="12" t="str">
        <f ca="1">IF(F384+G384+H384+I384+J384+D384+E384=3,IF(Tabelle2[[#This Row],[Kappe Weiß]]=Limits!$R$29,1,""),"")</f>
        <v/>
      </c>
      <c r="B384" s="12" t="str">
        <f ca="1">IF(G384+H384+I384+J384+E384+F384=2,IF(Tabelle2[[#This Row],[Kappe Weiß]]=Limits!$R$29,1,""),"")</f>
        <v/>
      </c>
      <c r="C384" s="292">
        <v>0</v>
      </c>
      <c r="D384" s="171">
        <f>IF(Limits!$P$7=TRUE,1,0)</f>
        <v>0</v>
      </c>
      <c r="E384" s="172">
        <f>IF(Daten!$P384+Daten!$Q384+Daten!$S384=3,1,0)</f>
        <v>0</v>
      </c>
      <c r="F384" s="173">
        <f ca="1">IF(AND(Limits!$Q$21=TRUE,Daten!O384=1)=TRUE,1,0)</f>
        <v>1</v>
      </c>
      <c r="G384" s="174">
        <f ca="1">IF(AND(Limits!$Q$25=TRUE,Daten!N384=1)=TRUE,1,0)</f>
        <v>0</v>
      </c>
      <c r="H384" s="174">
        <f ca="1">IF(AND(Limits!$Q$24=TRUE,Daten!M384=1)=TRUE,1,0)</f>
        <v>0</v>
      </c>
      <c r="I384" s="174">
        <f ca="1">IF(AND(Limits!$Q$23=TRUE,Daten!L384=1)=TRUE,1,0)</f>
        <v>0</v>
      </c>
      <c r="J384" s="174">
        <f ca="1">IF(AND(Limits!$Q$22=TRUE,Daten!K384=1)=TRUE,1,0)</f>
        <v>0</v>
      </c>
      <c r="K384" s="188">
        <f ca="1">IF(Daten!$V384=13,1,0)</f>
        <v>0</v>
      </c>
      <c r="L384" s="189">
        <f ca="1">IF(Daten!$V384&lt;&gt;Daten!$W384,1,IF(Daten!$V384=14,1,0))</f>
        <v>0</v>
      </c>
      <c r="M384" s="189">
        <f ca="1">IF(Daten!$V384&lt;&gt;Daten!$W384,1,IF(Daten!$V384=16,1,0))</f>
        <v>0</v>
      </c>
      <c r="N384" s="189">
        <f ca="1">IF(Daten!$W384=17,1,0)</f>
        <v>0</v>
      </c>
      <c r="O384" s="190">
        <f ca="1">IF(Daten!$X384=Sprache!$A$70,1,0)</f>
        <v>1</v>
      </c>
      <c r="P384" s="198">
        <f>IF(AND(Daten!$AQ384&lt;=KINVARO!$AW$3,Daten!$AR384&gt;=KINVARO!$AW$3)=TRUE,1,0)</f>
        <v>1</v>
      </c>
      <c r="Q384" s="199">
        <f>IF(AND(Daten!$AA384&lt;=KINVARO!$AW$4,Daten!$AB384&gt;=KINVARO!$AW$4)=TRUE,1,0)</f>
        <v>0</v>
      </c>
      <c r="R384" s="199"/>
      <c r="S384" s="199">
        <f>IF(AND(Daten!$AD384&lt;=Limits!$I$70,Daten!$AE384&gt;=Limits!$I$70)=TRUE,1,0)</f>
        <v>0</v>
      </c>
      <c r="T384" s="200">
        <f ca="1">IF(Daten!$Y384=Sprache!$A$135,1,0)</f>
        <v>0</v>
      </c>
      <c r="U384" s="201" t="str">
        <f ca="1">Sprache!$A$67</f>
        <v>T-70 Поворотный подъемник</v>
      </c>
      <c r="V384" s="202" t="str">
        <f ca="1">Sprache!$A$74</f>
        <v>var</v>
      </c>
      <c r="W384" s="200" t="str">
        <f ca="1">Sprache!$A$74</f>
        <v>var</v>
      </c>
      <c r="X384" s="203" t="str">
        <f ca="1">Sprache!$A$70</f>
        <v>соединение с древесиной</v>
      </c>
      <c r="Y384" s="187" t="str">
        <f ca="1">Sprache!$A$136</f>
        <v>nein</v>
      </c>
      <c r="Z384" s="203" t="str">
        <f ca="1">Sprache!$A$79</f>
        <v>Створка</v>
      </c>
      <c r="AA384" s="203">
        <v>350</v>
      </c>
      <c r="AB384" s="201">
        <v>399</v>
      </c>
      <c r="AC384" s="203"/>
      <c r="AD384" s="204">
        <v>1.8</v>
      </c>
      <c r="AE384" s="205">
        <v>6.3</v>
      </c>
      <c r="AF384" s="266" t="str">
        <f>MID(Tabelle2[[#This Row],[bnr full]],1,4)</f>
        <v>F151</v>
      </c>
      <c r="AG384" s="267" t="str">
        <f>MID(Tabelle2[[#This Row],[bnr full]],5,3)</f>
        <v>147</v>
      </c>
      <c r="AH384" s="268" t="str">
        <f>MID(Tabelle2[[#This Row],[bnr full]],8,3)</f>
        <v>692</v>
      </c>
      <c r="AI384" s="267" t="str">
        <f>MID(Tabelle2[[#This Row],[bnr full]],11,3)</f>
        <v>201</v>
      </c>
      <c r="AJ384" s="253" t="str">
        <f>MID(Tabelle2[[#This Row],[bnr full]],11,3)</f>
        <v>201</v>
      </c>
      <c r="AK384" s="206" t="s">
        <v>799</v>
      </c>
      <c r="AL384" s="201" t="str">
        <f ca="1">Sprache!$A$111</f>
        <v>Комплект (Л + П)</v>
      </c>
      <c r="AM384" s="203" t="s">
        <v>25</v>
      </c>
      <c r="AN384" s="203" t="str">
        <f ca="1">Sprache!$A$127</f>
        <v>Пружина, белая</v>
      </c>
      <c r="AO384" s="187" t="s">
        <v>25</v>
      </c>
      <c r="AP384" s="187" t="s">
        <v>25</v>
      </c>
      <c r="AQ384" s="203">
        <f>Limits!$K$9</f>
        <v>200</v>
      </c>
      <c r="AR384" s="201">
        <v>1200</v>
      </c>
      <c r="AS384" s="187"/>
      <c r="AT384" s="124"/>
      <c r="AU384"/>
      <c r="AV384"/>
      <c r="AY384"/>
      <c r="AZ384"/>
      <c r="BA384"/>
      <c r="BB384"/>
      <c r="BC384"/>
    </row>
    <row r="385" spans="1:55" hidden="1" x14ac:dyDescent="0.25">
      <c r="A385" s="12" t="str">
        <f ca="1">IF(F385+G385+H385+I385+J385+D385+E385=3,IF(Tabelle2[[#This Row],[Kappe Weiß]]=Limits!$R$29,1,""),"")</f>
        <v/>
      </c>
      <c r="B385" s="12" t="str">
        <f ca="1">IF(G385+H385+I385+J385+E385+F385=2,IF(Tabelle2[[#This Row],[Kappe Weiß]]=Limits!$R$29,1,""),"")</f>
        <v/>
      </c>
      <c r="C385" s="291">
        <v>0</v>
      </c>
      <c r="D385" s="171">
        <f>IF(Limits!$P$7=TRUE,1,0)</f>
        <v>0</v>
      </c>
      <c r="E385" s="172">
        <f>IF(Daten!$P385+Daten!$Q385+Daten!$S385=3,1,0)</f>
        <v>0</v>
      </c>
      <c r="F385" s="173">
        <f ca="1">IF(AND(Limits!$Q$21=TRUE,Daten!O385=1)=TRUE,1,0)</f>
        <v>1</v>
      </c>
      <c r="G385" s="174">
        <f ca="1">IF(AND(Limits!$Q$25=TRUE,Daten!N385=1)=TRUE,1,0)</f>
        <v>0</v>
      </c>
      <c r="H385" s="174">
        <f ca="1">IF(AND(Limits!$Q$24=TRUE,Daten!M385=1)=TRUE,1,0)</f>
        <v>0</v>
      </c>
      <c r="I385" s="174">
        <f ca="1">IF(AND(Limits!$Q$23=TRUE,Daten!L385=1)=TRUE,1,0)</f>
        <v>0</v>
      </c>
      <c r="J385" s="174">
        <f ca="1">IF(AND(Limits!$Q$22=TRUE,Daten!K385=1)=TRUE,1,0)</f>
        <v>0</v>
      </c>
      <c r="K385" s="188">
        <f ca="1">IF(Daten!$V385=13,1,0)</f>
        <v>0</v>
      </c>
      <c r="L385" s="189">
        <f ca="1">IF(Daten!$V385&lt;&gt;Daten!$W385,1,IF(Daten!$V385=14,1,0))</f>
        <v>0</v>
      </c>
      <c r="M385" s="189">
        <f ca="1">IF(Daten!$V385&lt;&gt;Daten!$W385,1,IF(Daten!$V385=16,1,0))</f>
        <v>0</v>
      </c>
      <c r="N385" s="189">
        <f ca="1">IF(Daten!$W385=17,1,0)</f>
        <v>0</v>
      </c>
      <c r="O385" s="190">
        <f ca="1">IF(Daten!$X385=Sprache!$A$70,1,0)</f>
        <v>1</v>
      </c>
      <c r="P385" s="191">
        <f>IF(AND(Daten!$AQ385&lt;=KINVARO!$AW$3,Daten!$AR385&gt;=KINVARO!$AW$3)=TRUE,1,0)</f>
        <v>1</v>
      </c>
      <c r="Q385" s="192">
        <f>IF(AND(Daten!$AA385&lt;=KINVARO!$AW$4,Daten!$AB385&gt;=KINVARO!$AW$4)=TRUE,1,0)</f>
        <v>0</v>
      </c>
      <c r="R385" s="192"/>
      <c r="S385" s="192">
        <f>IF(AND(Daten!$AD385&lt;=Limits!$I$70,Daten!$AE385&gt;=Limits!$I$70)=TRUE,1,0)</f>
        <v>0</v>
      </c>
      <c r="T385" s="193">
        <f ca="1">IF(Daten!$Y385=Sprache!$A$135,1,0)</f>
        <v>0</v>
      </c>
      <c r="U385" s="124" t="str">
        <f ca="1">Sprache!$A$67</f>
        <v>T-70 Поворотный подъемник</v>
      </c>
      <c r="V385" s="194" t="str">
        <f ca="1">Sprache!$A$74</f>
        <v>var</v>
      </c>
      <c r="W385" s="193" t="str">
        <f ca="1">Sprache!$A$74</f>
        <v>var</v>
      </c>
      <c r="X385" s="187" t="str">
        <f ca="1">Sprache!$A$70</f>
        <v>соединение с древесиной</v>
      </c>
      <c r="Y385" s="187" t="str">
        <f ca="1">Sprache!$A$136</f>
        <v>nein</v>
      </c>
      <c r="Z385" s="187" t="str">
        <f ca="1">Sprache!$A$79</f>
        <v>Створка</v>
      </c>
      <c r="AA385" s="187">
        <v>350</v>
      </c>
      <c r="AB385" s="124">
        <v>399</v>
      </c>
      <c r="AC385" s="187"/>
      <c r="AD385" s="195">
        <v>2.2999999999999998</v>
      </c>
      <c r="AE385" s="196">
        <v>7.5</v>
      </c>
      <c r="AF385" s="263" t="str">
        <f>MID(Tabelle2[[#This Row],[bnr full]],1,4)</f>
        <v>F151</v>
      </c>
      <c r="AG385" s="264" t="str">
        <f>MID(Tabelle2[[#This Row],[bnr full]],5,3)</f>
        <v>147</v>
      </c>
      <c r="AH385" s="265" t="str">
        <f>MID(Tabelle2[[#This Row],[bnr full]],8,3)</f>
        <v>692</v>
      </c>
      <c r="AI385" s="264" t="str">
        <f>MID(Tabelle2[[#This Row],[bnr full]],11,3)</f>
        <v>201</v>
      </c>
      <c r="AJ385" s="252" t="str">
        <f>MID(Tabelle2[[#This Row],[bnr full]],11,3)</f>
        <v>201</v>
      </c>
      <c r="AK385" s="197" t="s">
        <v>799</v>
      </c>
      <c r="AL385" s="124" t="str">
        <f ca="1">Sprache!$A$111</f>
        <v>Комплект (Л + П)</v>
      </c>
      <c r="AM385" s="187" t="s">
        <v>25</v>
      </c>
      <c r="AN385" s="187" t="str">
        <f ca="1">Sprache!$A$128</f>
        <v>Пружина, оранжевая</v>
      </c>
      <c r="AO385" s="187" t="s">
        <v>25</v>
      </c>
      <c r="AP385" s="187" t="s">
        <v>25</v>
      </c>
      <c r="AQ385" s="187">
        <f>Limits!$K$9</f>
        <v>200</v>
      </c>
      <c r="AR385" s="124">
        <v>1200</v>
      </c>
      <c r="AS385" s="187"/>
      <c r="AT385" s="124"/>
      <c r="AU385"/>
      <c r="AV385"/>
      <c r="AY385"/>
      <c r="AZ385"/>
      <c r="BA385"/>
      <c r="BB385"/>
      <c r="BC385"/>
    </row>
    <row r="386" spans="1:55" hidden="1" x14ac:dyDescent="0.25">
      <c r="A386" s="12" t="str">
        <f ca="1">IF(F386+G386+H386+I386+J386+D386+E386=3,IF(Tabelle2[[#This Row],[Kappe Weiß]]=Limits!$R$29,1,""),"")</f>
        <v/>
      </c>
      <c r="B386" s="12" t="str">
        <f ca="1">IF(G386+H386+I386+J386+E386+F386=2,IF(Tabelle2[[#This Row],[Kappe Weiß]]=Limits!$R$29,1,""),"")</f>
        <v/>
      </c>
      <c r="C386" s="291">
        <v>0</v>
      </c>
      <c r="D386" s="171">
        <f>IF(Limits!$P$7=TRUE,1,0)</f>
        <v>0</v>
      </c>
      <c r="E386" s="172">
        <f>IF(Daten!$P386+Daten!$Q386+Daten!$S386=3,1,0)</f>
        <v>0</v>
      </c>
      <c r="F386" s="173">
        <f ca="1">IF(AND(Limits!$Q$21=TRUE,Daten!O386=1)=TRUE,1,0)</f>
        <v>0</v>
      </c>
      <c r="G386" s="174">
        <f>IF(AND(Limits!$Q$25=TRUE,Daten!N386=1)=TRUE,1,0)</f>
        <v>0</v>
      </c>
      <c r="H386" s="174">
        <f>IF(AND(Limits!$Q$24=TRUE,Daten!M386=1)=TRUE,1,0)</f>
        <v>0</v>
      </c>
      <c r="I386" s="174">
        <f>IF(AND(Limits!$Q$23=TRUE,Daten!L386=1)=TRUE,1,0)</f>
        <v>0</v>
      </c>
      <c r="J386" s="174">
        <f>IF(AND(Limits!$Q$22=TRUE,Daten!K386=1)=TRUE,1,0)</f>
        <v>0</v>
      </c>
      <c r="K386" s="188">
        <f>IF(Daten!$V386=13,1,0)</f>
        <v>1</v>
      </c>
      <c r="L386" s="189">
        <f>IF(Daten!$V386&lt;&gt;Daten!$W386,1,IF(Daten!$V386=14,1,0))</f>
        <v>0</v>
      </c>
      <c r="M386" s="189">
        <f>IF(Daten!$V386&lt;&gt;Daten!$W386,1,IF(Daten!$V386=16,1,0))</f>
        <v>0</v>
      </c>
      <c r="N386" s="189">
        <f>IF(Daten!$W386=17,1,0)</f>
        <v>0</v>
      </c>
      <c r="O386" s="190">
        <f ca="1">IF(Daten!$X386=Sprache!$A$70,1,0)</f>
        <v>0</v>
      </c>
      <c r="P386" s="191">
        <f>IF(AND(Daten!$AQ386&lt;=KINVARO!$AW$3,Daten!$AR386&gt;=KINVARO!$AW$3)=TRUE,1,0)</f>
        <v>1</v>
      </c>
      <c r="Q386" s="192">
        <f>IF(AND(Daten!$AA386&lt;=KINVARO!$AW$4,Daten!$AB386&gt;=KINVARO!$AW$4)=TRUE,1,0)</f>
        <v>0</v>
      </c>
      <c r="R386" s="192"/>
      <c r="S386" s="192">
        <f>IF(AND(Daten!$AD386&lt;=Limits!$I$70,Daten!$AE386&gt;=Limits!$I$70)=TRUE,1,0)</f>
        <v>0</v>
      </c>
      <c r="T386" s="193">
        <f ca="1">IF(Daten!$Y386=Sprache!$A$135,1,0)</f>
        <v>0</v>
      </c>
      <c r="U386" s="124" t="str">
        <f ca="1">Sprache!$A$67</f>
        <v>T-70 Поворотный подъемник</v>
      </c>
      <c r="V386" s="194">
        <v>13</v>
      </c>
      <c r="W386" s="193">
        <v>13</v>
      </c>
      <c r="X386" s="187" t="str">
        <f ca="1">Sprache!$A$141</f>
        <v>Alu</v>
      </c>
      <c r="Y386" s="187" t="str">
        <f ca="1">Sprache!$A$136</f>
        <v>nein</v>
      </c>
      <c r="Z386" s="187" t="str">
        <f ca="1">Sprache!$A$79</f>
        <v>Створка</v>
      </c>
      <c r="AA386" s="187">
        <v>350</v>
      </c>
      <c r="AB386" s="124">
        <v>399</v>
      </c>
      <c r="AC386" s="187"/>
      <c r="AD386" s="195">
        <v>1.8</v>
      </c>
      <c r="AE386" s="196">
        <v>6.3</v>
      </c>
      <c r="AF386" s="263" t="str">
        <f>MID(Tabelle2[[#This Row],[bnr full]],1,4)</f>
        <v>F151</v>
      </c>
      <c r="AG386" s="264" t="str">
        <f>MID(Tabelle2[[#This Row],[bnr full]],5,3)</f>
        <v>147</v>
      </c>
      <c r="AH386" s="265" t="str">
        <f>MID(Tabelle2[[#This Row],[bnr full]],8,3)</f>
        <v>688</v>
      </c>
      <c r="AI386" s="264" t="str">
        <f>MID(Tabelle2[[#This Row],[bnr full]],11,3)</f>
        <v>201</v>
      </c>
      <c r="AJ386" s="252" t="str">
        <f>MID(Tabelle2[[#This Row],[bnr full]],11,3)</f>
        <v>201</v>
      </c>
      <c r="AK386" s="197" t="s">
        <v>800</v>
      </c>
      <c r="AL386" s="124" t="str">
        <f ca="1">Sprache!$A$111</f>
        <v>Комплект (Л + П)</v>
      </c>
      <c r="AM386" s="187" t="s">
        <v>25</v>
      </c>
      <c r="AN386" s="187" t="str">
        <f ca="1">Sprache!$A$127</f>
        <v>Пружина, белая</v>
      </c>
      <c r="AO386" s="187" t="s">
        <v>25</v>
      </c>
      <c r="AP386" s="187" t="s">
        <v>25</v>
      </c>
      <c r="AQ386" s="187">
        <f>Limits!$K$9</f>
        <v>200</v>
      </c>
      <c r="AR386" s="124">
        <v>1200</v>
      </c>
      <c r="AS386" s="187"/>
      <c r="AT386" s="124"/>
      <c r="AU386"/>
      <c r="AV386"/>
      <c r="AY386"/>
      <c r="AZ386"/>
      <c r="BA386"/>
      <c r="BB386"/>
      <c r="BC386"/>
    </row>
    <row r="387" spans="1:55" hidden="1" x14ac:dyDescent="0.25">
      <c r="A387" s="12" t="str">
        <f ca="1">IF(F387+G387+H387+I387+J387+D387+E387=3,IF(Tabelle2[[#This Row],[Kappe Weiß]]=Limits!$R$29,1,""),"")</f>
        <v/>
      </c>
      <c r="B387" s="12" t="str">
        <f ca="1">IF(G387+H387+I387+J387+E387+F387=2,IF(Tabelle2[[#This Row],[Kappe Weiß]]=Limits!$R$29,1,""),"")</f>
        <v/>
      </c>
      <c r="C387" s="291">
        <v>0</v>
      </c>
      <c r="D387" s="171">
        <f>IF(Limits!$P$7=TRUE,1,0)</f>
        <v>0</v>
      </c>
      <c r="E387" s="172">
        <f>IF(Daten!$P387+Daten!$Q387+Daten!$S387=3,1,0)</f>
        <v>0</v>
      </c>
      <c r="F387" s="173">
        <f ca="1">IF(AND(Limits!$Q$21=TRUE,Daten!O387=1)=TRUE,1,0)</f>
        <v>0</v>
      </c>
      <c r="G387" s="174">
        <f>IF(AND(Limits!$Q$25=TRUE,Daten!N387=1)=TRUE,1,0)</f>
        <v>0</v>
      </c>
      <c r="H387" s="174">
        <f>IF(AND(Limits!$Q$24=TRUE,Daten!M387=1)=TRUE,1,0)</f>
        <v>0</v>
      </c>
      <c r="I387" s="174">
        <f>IF(AND(Limits!$Q$23=TRUE,Daten!L387=1)=TRUE,1,0)</f>
        <v>0</v>
      </c>
      <c r="J387" s="174">
        <f>IF(AND(Limits!$Q$22=TRUE,Daten!K387=1)=TRUE,1,0)</f>
        <v>0</v>
      </c>
      <c r="K387" s="188">
        <f>IF(Daten!$V387=13,1,0)</f>
        <v>1</v>
      </c>
      <c r="L387" s="189">
        <f>IF(Daten!$V387&lt;&gt;Daten!$W387,1,IF(Daten!$V387=14,1,0))</f>
        <v>0</v>
      </c>
      <c r="M387" s="189">
        <f>IF(Daten!$V387&lt;&gt;Daten!$W387,1,IF(Daten!$V387=16,1,0))</f>
        <v>0</v>
      </c>
      <c r="N387" s="189">
        <f>IF(Daten!$W387=17,1,0)</f>
        <v>0</v>
      </c>
      <c r="O387" s="190">
        <f ca="1">IF(Daten!$X387=Sprache!$A$70,1,0)</f>
        <v>0</v>
      </c>
      <c r="P387" s="191">
        <f>IF(AND(Daten!$AQ387&lt;=KINVARO!$AW$3,Daten!$AR387&gt;=KINVARO!$AW$3)=TRUE,1,0)</f>
        <v>1</v>
      </c>
      <c r="Q387" s="192">
        <f>IF(AND(Daten!$AA387&lt;=KINVARO!$AW$4,Daten!$AB387&gt;=KINVARO!$AW$4)=TRUE,1,0)</f>
        <v>0</v>
      </c>
      <c r="R387" s="192"/>
      <c r="S387" s="192">
        <f>IF(AND(Daten!$AD387&lt;=Limits!$I$70,Daten!$AE387&gt;=Limits!$I$70)=TRUE,1,0)</f>
        <v>0</v>
      </c>
      <c r="T387" s="193">
        <f ca="1">IF(Daten!$Y387=Sprache!$A$135,1,0)</f>
        <v>0</v>
      </c>
      <c r="U387" s="124" t="str">
        <f ca="1">Sprache!$A$67</f>
        <v>T-70 Поворотный подъемник</v>
      </c>
      <c r="V387" s="194">
        <v>13</v>
      </c>
      <c r="W387" s="193">
        <v>13</v>
      </c>
      <c r="X387" s="187" t="str">
        <f ca="1">Sprache!$A$141</f>
        <v>Alu</v>
      </c>
      <c r="Y387" s="187" t="str">
        <f ca="1">Sprache!$A$136</f>
        <v>nein</v>
      </c>
      <c r="Z387" s="187" t="str">
        <f ca="1">Sprache!$A$79</f>
        <v>Створка</v>
      </c>
      <c r="AA387" s="187">
        <v>350</v>
      </c>
      <c r="AB387" s="124">
        <v>399</v>
      </c>
      <c r="AC387" s="187"/>
      <c r="AD387" s="195">
        <v>2.2999999999999998</v>
      </c>
      <c r="AE387" s="196">
        <v>7.5</v>
      </c>
      <c r="AF387" s="263" t="str">
        <f>MID(Tabelle2[[#This Row],[bnr full]],1,4)</f>
        <v>F151</v>
      </c>
      <c r="AG387" s="264" t="str">
        <f>MID(Tabelle2[[#This Row],[bnr full]],5,3)</f>
        <v>147</v>
      </c>
      <c r="AH387" s="265" t="str">
        <f>MID(Tabelle2[[#This Row],[bnr full]],8,3)</f>
        <v>688</v>
      </c>
      <c r="AI387" s="264" t="str">
        <f>MID(Tabelle2[[#This Row],[bnr full]],11,3)</f>
        <v>201</v>
      </c>
      <c r="AJ387" s="252" t="str">
        <f>MID(Tabelle2[[#This Row],[bnr full]],11,3)</f>
        <v>201</v>
      </c>
      <c r="AK387" s="197" t="s">
        <v>800</v>
      </c>
      <c r="AL387" s="124" t="str">
        <f ca="1">Sprache!$A$111</f>
        <v>Комплект (Л + П)</v>
      </c>
      <c r="AM387" s="187" t="s">
        <v>25</v>
      </c>
      <c r="AN387" s="187" t="str">
        <f ca="1">Sprache!$A$128</f>
        <v>Пружина, оранжевая</v>
      </c>
      <c r="AO387" s="187" t="s">
        <v>25</v>
      </c>
      <c r="AP387" s="187" t="s">
        <v>25</v>
      </c>
      <c r="AQ387" s="187">
        <f>Limits!$K$9</f>
        <v>200</v>
      </c>
      <c r="AR387" s="124">
        <v>1200</v>
      </c>
      <c r="AS387" s="187"/>
      <c r="AT387" s="124"/>
      <c r="AU387"/>
      <c r="AV387"/>
      <c r="AY387"/>
      <c r="AZ387"/>
      <c r="BA387"/>
      <c r="BB387"/>
      <c r="BC387"/>
    </row>
    <row r="388" spans="1:55" hidden="1" x14ac:dyDescent="0.25">
      <c r="A388" s="12" t="str">
        <f ca="1">IF(F388+G388+H388+I388+J388+D388+E388=3,IF(Tabelle2[[#This Row],[Kappe Weiß]]=Limits!$R$29,1,""),"")</f>
        <v/>
      </c>
      <c r="B388" s="12" t="str">
        <f ca="1">IF(G388+H388+I388+J388+E388+F388=2,IF(Tabelle2[[#This Row],[Kappe Weiß]]=Limits!$R$29,1,""),"")</f>
        <v/>
      </c>
      <c r="C388" s="291">
        <v>0</v>
      </c>
      <c r="D388" s="171">
        <f>IF(Limits!$P$7=TRUE,1,0)</f>
        <v>0</v>
      </c>
      <c r="E388" s="172">
        <f>IF(Daten!$P388+Daten!$Q388+Daten!$S388=3,1,0)</f>
        <v>0</v>
      </c>
      <c r="F388" s="173">
        <f ca="1">IF(AND(Limits!$Q$21=TRUE,Daten!O388=1)=TRUE,1,0)</f>
        <v>0</v>
      </c>
      <c r="G388" s="174">
        <f>IF(AND(Limits!$Q$25=TRUE,Daten!N388=1)=TRUE,1,0)</f>
        <v>0</v>
      </c>
      <c r="H388" s="174">
        <f>IF(AND(Limits!$Q$24=TRUE,Daten!M388=1)=TRUE,1,0)</f>
        <v>0</v>
      </c>
      <c r="I388" s="174">
        <f>IF(AND(Limits!$Q$23=TRUE,Daten!L388=1)=TRUE,1,0)</f>
        <v>0</v>
      </c>
      <c r="J388" s="174">
        <f>IF(AND(Limits!$Q$22=TRUE,Daten!K388=1)=TRUE,1,0)</f>
        <v>0</v>
      </c>
      <c r="K388" s="188">
        <f>IF(Daten!$V388=13,1,0)</f>
        <v>0</v>
      </c>
      <c r="L388" s="189">
        <f>IF(Daten!$V388&lt;&gt;Daten!$W388,1,IF(Daten!$V388=14,1,0))</f>
        <v>1</v>
      </c>
      <c r="M388" s="189">
        <f>IF(Daten!$V388&lt;&gt;Daten!$W388,1,IF(Daten!$V388=16,1,0))</f>
        <v>0</v>
      </c>
      <c r="N388" s="189">
        <f>IF(Daten!$W388=17,1,0)</f>
        <v>0</v>
      </c>
      <c r="O388" s="190">
        <f ca="1">IF(Daten!$X388=Sprache!$A$70,1,0)</f>
        <v>0</v>
      </c>
      <c r="P388" s="191">
        <f>IF(AND(Daten!$AQ388&lt;=KINVARO!$AW$3,Daten!$AR388&gt;=KINVARO!$AW$3)=TRUE,1,0)</f>
        <v>1</v>
      </c>
      <c r="Q388" s="192">
        <f>IF(AND(Daten!$AA388&lt;=KINVARO!$AW$4,Daten!$AB388&gt;=KINVARO!$AW$4)=TRUE,1,0)</f>
        <v>0</v>
      </c>
      <c r="R388" s="192"/>
      <c r="S388" s="192">
        <f>IF(AND(Daten!$AD388&lt;=Limits!$I$70,Daten!$AE388&gt;=Limits!$I$70)=TRUE,1,0)</f>
        <v>0</v>
      </c>
      <c r="T388" s="193">
        <f ca="1">IF(Daten!$Y388=Sprache!$A$135,1,0)</f>
        <v>0</v>
      </c>
      <c r="U388" s="124" t="str">
        <f ca="1">Sprache!$A$67</f>
        <v>T-70 Поворотный подъемник</v>
      </c>
      <c r="V388" s="194">
        <v>14</v>
      </c>
      <c r="W388" s="193">
        <v>14</v>
      </c>
      <c r="X388" s="187" t="str">
        <f ca="1">Sprache!$A$141</f>
        <v>Alu</v>
      </c>
      <c r="Y388" s="187" t="str">
        <f ca="1">Sprache!$A$136</f>
        <v>nein</v>
      </c>
      <c r="Z388" s="187" t="str">
        <f ca="1">Sprache!$A$79</f>
        <v>Створка</v>
      </c>
      <c r="AA388" s="187">
        <v>350</v>
      </c>
      <c r="AB388" s="124">
        <v>399</v>
      </c>
      <c r="AC388" s="187"/>
      <c r="AD388" s="195">
        <v>1.8</v>
      </c>
      <c r="AE388" s="196">
        <v>6.3</v>
      </c>
      <c r="AF388" s="263" t="str">
        <f>MID(Tabelle2[[#This Row],[bnr full]],1,4)</f>
        <v>F151</v>
      </c>
      <c r="AG388" s="264" t="str">
        <f>MID(Tabelle2[[#This Row],[bnr full]],5,3)</f>
        <v>147</v>
      </c>
      <c r="AH388" s="265" t="str">
        <f>MID(Tabelle2[[#This Row],[bnr full]],8,3)</f>
        <v>689</v>
      </c>
      <c r="AI388" s="264" t="str">
        <f>MID(Tabelle2[[#This Row],[bnr full]],11,3)</f>
        <v>201</v>
      </c>
      <c r="AJ388" s="252" t="str">
        <f>MID(Tabelle2[[#This Row],[bnr full]],11,3)</f>
        <v>201</v>
      </c>
      <c r="AK388" s="197" t="s">
        <v>801</v>
      </c>
      <c r="AL388" s="124" t="str">
        <f ca="1">Sprache!$A$111</f>
        <v>Комплект (Л + П)</v>
      </c>
      <c r="AM388" s="187" t="s">
        <v>25</v>
      </c>
      <c r="AN388" s="187" t="str">
        <f ca="1">Sprache!$A$127</f>
        <v>Пружина, белая</v>
      </c>
      <c r="AO388" s="187" t="s">
        <v>25</v>
      </c>
      <c r="AP388" s="187" t="s">
        <v>25</v>
      </c>
      <c r="AQ388" s="187">
        <f>Limits!$K$9</f>
        <v>200</v>
      </c>
      <c r="AR388" s="124">
        <v>1200</v>
      </c>
      <c r="AS388" s="187"/>
      <c r="AT388" s="124"/>
      <c r="AU388"/>
      <c r="AV388"/>
      <c r="AY388"/>
      <c r="AZ388"/>
      <c r="BA388"/>
      <c r="BB388"/>
      <c r="BC388"/>
    </row>
    <row r="389" spans="1:55" hidden="1" x14ac:dyDescent="0.25">
      <c r="A389" s="12" t="str">
        <f ca="1">IF(F389+G389+H389+I389+J389+D389+E389=3,IF(Tabelle2[[#This Row],[Kappe Weiß]]=Limits!$R$29,1,""),"")</f>
        <v/>
      </c>
      <c r="B389" s="12" t="str">
        <f ca="1">IF(G389+H389+I389+J389+E389+F389=2,IF(Tabelle2[[#This Row],[Kappe Weiß]]=Limits!$R$29,1,""),"")</f>
        <v/>
      </c>
      <c r="C389" s="291">
        <v>0</v>
      </c>
      <c r="D389" s="171">
        <f>IF(Limits!$P$7=TRUE,1,0)</f>
        <v>0</v>
      </c>
      <c r="E389" s="172">
        <f>IF(Daten!$P389+Daten!$Q389+Daten!$S389=3,1,0)</f>
        <v>0</v>
      </c>
      <c r="F389" s="173">
        <f ca="1">IF(AND(Limits!$Q$21=TRUE,Daten!O389=1)=TRUE,1,0)</f>
        <v>0</v>
      </c>
      <c r="G389" s="174">
        <f>IF(AND(Limits!$Q$25=TRUE,Daten!N389=1)=TRUE,1,0)</f>
        <v>0</v>
      </c>
      <c r="H389" s="174">
        <f>IF(AND(Limits!$Q$24=TRUE,Daten!M389=1)=TRUE,1,0)</f>
        <v>0</v>
      </c>
      <c r="I389" s="174">
        <f>IF(AND(Limits!$Q$23=TRUE,Daten!L389=1)=TRUE,1,0)</f>
        <v>0</v>
      </c>
      <c r="J389" s="174">
        <f>IF(AND(Limits!$Q$22=TRUE,Daten!K389=1)=TRUE,1,0)</f>
        <v>0</v>
      </c>
      <c r="K389" s="188">
        <f>IF(Daten!$V389=13,1,0)</f>
        <v>0</v>
      </c>
      <c r="L389" s="189">
        <f>IF(Daten!$V389&lt;&gt;Daten!$W389,1,IF(Daten!$V389=14,1,0))</f>
        <v>1</v>
      </c>
      <c r="M389" s="189">
        <f>IF(Daten!$V389&lt;&gt;Daten!$W389,1,IF(Daten!$V389=16,1,0))</f>
        <v>0</v>
      </c>
      <c r="N389" s="189">
        <f>IF(Daten!$W389=17,1,0)</f>
        <v>0</v>
      </c>
      <c r="O389" s="190">
        <f ca="1">IF(Daten!$X389=Sprache!$A$70,1,0)</f>
        <v>0</v>
      </c>
      <c r="P389" s="191">
        <f>IF(AND(Daten!$AQ389&lt;=KINVARO!$AW$3,Daten!$AR389&gt;=KINVARO!$AW$3)=TRUE,1,0)</f>
        <v>1</v>
      </c>
      <c r="Q389" s="192">
        <f>IF(AND(Daten!$AA389&lt;=KINVARO!$AW$4,Daten!$AB389&gt;=KINVARO!$AW$4)=TRUE,1,0)</f>
        <v>0</v>
      </c>
      <c r="R389" s="192"/>
      <c r="S389" s="192">
        <f>IF(AND(Daten!$AD389&lt;=Limits!$I$70,Daten!$AE389&gt;=Limits!$I$70)=TRUE,1,0)</f>
        <v>0</v>
      </c>
      <c r="T389" s="193">
        <f ca="1">IF(Daten!$Y389=Sprache!$A$135,1,0)</f>
        <v>0</v>
      </c>
      <c r="U389" s="124" t="str">
        <f ca="1">Sprache!$A$67</f>
        <v>T-70 Поворотный подъемник</v>
      </c>
      <c r="V389" s="194">
        <v>14</v>
      </c>
      <c r="W389" s="193">
        <v>14</v>
      </c>
      <c r="X389" s="187" t="str">
        <f ca="1">Sprache!$A$141</f>
        <v>Alu</v>
      </c>
      <c r="Y389" s="187" t="str">
        <f ca="1">Sprache!$A$136</f>
        <v>nein</v>
      </c>
      <c r="Z389" s="187" t="str">
        <f ca="1">Sprache!$A$79</f>
        <v>Створка</v>
      </c>
      <c r="AA389" s="187">
        <v>350</v>
      </c>
      <c r="AB389" s="124">
        <v>399</v>
      </c>
      <c r="AC389" s="187"/>
      <c r="AD389" s="195">
        <v>2.2999999999999998</v>
      </c>
      <c r="AE389" s="196">
        <v>7.5</v>
      </c>
      <c r="AF389" s="263" t="str">
        <f>MID(Tabelle2[[#This Row],[bnr full]],1,4)</f>
        <v>F151</v>
      </c>
      <c r="AG389" s="264" t="str">
        <f>MID(Tabelle2[[#This Row],[bnr full]],5,3)</f>
        <v>147</v>
      </c>
      <c r="AH389" s="265" t="str">
        <f>MID(Tabelle2[[#This Row],[bnr full]],8,3)</f>
        <v>689</v>
      </c>
      <c r="AI389" s="264" t="str">
        <f>MID(Tabelle2[[#This Row],[bnr full]],11,3)</f>
        <v>201</v>
      </c>
      <c r="AJ389" s="252" t="str">
        <f>MID(Tabelle2[[#This Row],[bnr full]],11,3)</f>
        <v>201</v>
      </c>
      <c r="AK389" s="197" t="s">
        <v>801</v>
      </c>
      <c r="AL389" s="124" t="str">
        <f ca="1">Sprache!$A$111</f>
        <v>Комплект (Л + П)</v>
      </c>
      <c r="AM389" s="187" t="s">
        <v>25</v>
      </c>
      <c r="AN389" s="187" t="str">
        <f ca="1">Sprache!$A$128</f>
        <v>Пружина, оранжевая</v>
      </c>
      <c r="AO389" s="187" t="s">
        <v>25</v>
      </c>
      <c r="AP389" s="187" t="s">
        <v>25</v>
      </c>
      <c r="AQ389" s="187">
        <f>Limits!$K$9</f>
        <v>200</v>
      </c>
      <c r="AR389" s="124">
        <v>1200</v>
      </c>
      <c r="AS389" s="187"/>
      <c r="AT389" s="124"/>
      <c r="AU389"/>
      <c r="AV389"/>
      <c r="AY389"/>
      <c r="AZ389"/>
      <c r="BA389"/>
      <c r="BB389"/>
      <c r="BC389"/>
    </row>
    <row r="390" spans="1:55" hidden="1" x14ac:dyDescent="0.25">
      <c r="A390" s="12" t="str">
        <f ca="1">IF(F390+G390+H390+I390+J390+D390+E390=3,IF(Tabelle2[[#This Row],[Kappe Weiß]]=Limits!$R$29,1,""),"")</f>
        <v/>
      </c>
      <c r="B390" s="12" t="str">
        <f ca="1">IF(G390+H390+I390+J390+E390+F390=2,IF(Tabelle2[[#This Row],[Kappe Weiß]]=Limits!$R$29,1,""),"")</f>
        <v/>
      </c>
      <c r="C390" s="291">
        <v>0</v>
      </c>
      <c r="D390" s="171">
        <f>IF(Limits!$P$7=TRUE,1,0)</f>
        <v>0</v>
      </c>
      <c r="E390" s="172">
        <f>IF(Daten!$P390+Daten!$Q390+Daten!$S390=3,1,0)</f>
        <v>0</v>
      </c>
      <c r="F390" s="173">
        <f ca="1">IF(AND(Limits!$Q$21=TRUE,Daten!O390=1)=TRUE,1,0)</f>
        <v>0</v>
      </c>
      <c r="G390" s="174">
        <f>IF(AND(Limits!$Q$25=TRUE,Daten!N390=1)=TRUE,1,0)</f>
        <v>0</v>
      </c>
      <c r="H390" s="174">
        <f>IF(AND(Limits!$Q$24=TRUE,Daten!M390=1)=TRUE,1,0)</f>
        <v>0</v>
      </c>
      <c r="I390" s="174">
        <f>IF(AND(Limits!$Q$23=TRUE,Daten!L390=1)=TRUE,1,0)</f>
        <v>0</v>
      </c>
      <c r="J390" s="174">
        <f>IF(AND(Limits!$Q$22=TRUE,Daten!K390=1)=TRUE,1,0)</f>
        <v>0</v>
      </c>
      <c r="K390" s="188">
        <f>IF(Daten!$V390=13,1,0)</f>
        <v>0</v>
      </c>
      <c r="L390" s="189">
        <f>IF(Daten!$V390&lt;&gt;Daten!$W390,1,IF(Daten!$V390=14,1,0))</f>
        <v>0</v>
      </c>
      <c r="M390" s="189">
        <f>IF(Daten!$V390&lt;&gt;Daten!$W390,1,IF(Daten!$V390=16,1,0))</f>
        <v>1</v>
      </c>
      <c r="N390" s="189">
        <f>IF(Daten!$W390=17,1,0)</f>
        <v>0</v>
      </c>
      <c r="O390" s="190">
        <f ca="1">IF(Daten!$X390=Sprache!$A$70,1,0)</f>
        <v>0</v>
      </c>
      <c r="P390" s="191">
        <f>IF(AND(Daten!$AQ390&lt;=KINVARO!$AW$3,Daten!$AR390&gt;=KINVARO!$AW$3)=TRUE,1,0)</f>
        <v>1</v>
      </c>
      <c r="Q390" s="192">
        <f>IF(AND(Daten!$AA390&lt;=KINVARO!$AW$4,Daten!$AB390&gt;=KINVARO!$AW$4)=TRUE,1,0)</f>
        <v>0</v>
      </c>
      <c r="R390" s="192"/>
      <c r="S390" s="192">
        <f>IF(AND(Daten!$AD390&lt;=Limits!$I$70,Daten!$AE390&gt;=Limits!$I$70)=TRUE,1,0)</f>
        <v>0</v>
      </c>
      <c r="T390" s="193">
        <f ca="1">IF(Daten!$Y390=Sprache!$A$135,1,0)</f>
        <v>0</v>
      </c>
      <c r="U390" s="124" t="str">
        <f ca="1">Sprache!$A$67</f>
        <v>T-70 Поворотный подъемник</v>
      </c>
      <c r="V390" s="194">
        <v>16</v>
      </c>
      <c r="W390" s="193">
        <v>16</v>
      </c>
      <c r="X390" s="187" t="str">
        <f ca="1">Sprache!$A$141</f>
        <v>Alu</v>
      </c>
      <c r="Y390" s="187" t="str">
        <f ca="1">Sprache!$A$136</f>
        <v>nein</v>
      </c>
      <c r="Z390" s="187" t="str">
        <f ca="1">Sprache!$A$79</f>
        <v>Створка</v>
      </c>
      <c r="AA390" s="187">
        <v>350</v>
      </c>
      <c r="AB390" s="124">
        <v>399</v>
      </c>
      <c r="AC390" s="187"/>
      <c r="AD390" s="195">
        <v>1.8</v>
      </c>
      <c r="AE390" s="196">
        <v>6.3</v>
      </c>
      <c r="AF390" s="263" t="str">
        <f>MID(Tabelle2[[#This Row],[bnr full]],1,4)</f>
        <v>F151</v>
      </c>
      <c r="AG390" s="264" t="str">
        <f>MID(Tabelle2[[#This Row],[bnr full]],5,3)</f>
        <v>147</v>
      </c>
      <c r="AH390" s="265" t="str">
        <f>MID(Tabelle2[[#This Row],[bnr full]],8,3)</f>
        <v>690</v>
      </c>
      <c r="AI390" s="264" t="str">
        <f>MID(Tabelle2[[#This Row],[bnr full]],11,3)</f>
        <v>201</v>
      </c>
      <c r="AJ390" s="252" t="str">
        <f>MID(Tabelle2[[#This Row],[bnr full]],11,3)</f>
        <v>201</v>
      </c>
      <c r="AK390" s="197" t="s">
        <v>802</v>
      </c>
      <c r="AL390" s="124" t="str">
        <f ca="1">Sprache!$A$111</f>
        <v>Комплект (Л + П)</v>
      </c>
      <c r="AM390" s="187" t="s">
        <v>25</v>
      </c>
      <c r="AN390" s="187" t="str">
        <f ca="1">Sprache!$A$127</f>
        <v>Пружина, белая</v>
      </c>
      <c r="AO390" s="187" t="s">
        <v>25</v>
      </c>
      <c r="AP390" s="187" t="s">
        <v>25</v>
      </c>
      <c r="AQ390" s="187">
        <f>Limits!$K$9</f>
        <v>200</v>
      </c>
      <c r="AR390" s="124">
        <v>1200</v>
      </c>
      <c r="AS390" s="187"/>
      <c r="AT390" s="124"/>
      <c r="AU390"/>
      <c r="AV390"/>
      <c r="AY390"/>
      <c r="AZ390"/>
      <c r="BA390"/>
      <c r="BB390"/>
      <c r="BC390"/>
    </row>
    <row r="391" spans="1:55" s="5" customFormat="1" hidden="1" x14ac:dyDescent="0.25">
      <c r="A391" s="12" t="str">
        <f ca="1">IF(F391+G391+H391+I391+J391+D391+E391=3,IF(Tabelle2[[#This Row],[Kappe Weiß]]=Limits!$R$29,1,""),"")</f>
        <v/>
      </c>
      <c r="B391" s="12" t="str">
        <f ca="1">IF(G391+H391+I391+J391+E391+F391=2,IF(Tabelle2[[#This Row],[Kappe Weiß]]=Limits!$R$29,1,""),"")</f>
        <v/>
      </c>
      <c r="C391" s="291">
        <v>0</v>
      </c>
      <c r="D391" s="171">
        <f>IF(Limits!$P$7=TRUE,1,0)</f>
        <v>0</v>
      </c>
      <c r="E391" s="172">
        <f>IF(Daten!$P391+Daten!$Q391+Daten!$S391=3,1,0)</f>
        <v>0</v>
      </c>
      <c r="F391" s="173">
        <f ca="1">IF(AND(Limits!$Q$21=TRUE,Daten!O391=1)=TRUE,1,0)</f>
        <v>0</v>
      </c>
      <c r="G391" s="174">
        <f>IF(AND(Limits!$Q$25=TRUE,Daten!N391=1)=TRUE,1,0)</f>
        <v>0</v>
      </c>
      <c r="H391" s="174">
        <f>IF(AND(Limits!$Q$24=TRUE,Daten!M391=1)=TRUE,1,0)</f>
        <v>0</v>
      </c>
      <c r="I391" s="174">
        <f>IF(AND(Limits!$Q$23=TRUE,Daten!L391=1)=TRUE,1,0)</f>
        <v>0</v>
      </c>
      <c r="J391" s="174">
        <f>IF(AND(Limits!$Q$22=TRUE,Daten!K391=1)=TRUE,1,0)</f>
        <v>0</v>
      </c>
      <c r="K391" s="188">
        <f>IF(Daten!$V391=13,1,0)</f>
        <v>0</v>
      </c>
      <c r="L391" s="189">
        <f>IF(Daten!$V391&lt;&gt;Daten!$W391,1,IF(Daten!$V391=14,1,0))</f>
        <v>0</v>
      </c>
      <c r="M391" s="189">
        <f>IF(Daten!$V391&lt;&gt;Daten!$W391,1,IF(Daten!$V391=16,1,0))</f>
        <v>1</v>
      </c>
      <c r="N391" s="189">
        <f>IF(Daten!$W391=17,1,0)</f>
        <v>0</v>
      </c>
      <c r="O391" s="190">
        <f ca="1">IF(Daten!$X391=Sprache!$A$70,1,0)</f>
        <v>0</v>
      </c>
      <c r="P391" s="191">
        <f>IF(AND(Daten!$AQ391&lt;=KINVARO!$AW$3,Daten!$AR391&gt;=KINVARO!$AW$3)=TRUE,1,0)</f>
        <v>1</v>
      </c>
      <c r="Q391" s="192">
        <f>IF(AND(Daten!$AA391&lt;=KINVARO!$AW$4,Daten!$AB391&gt;=KINVARO!$AW$4)=TRUE,1,0)</f>
        <v>0</v>
      </c>
      <c r="R391" s="192"/>
      <c r="S391" s="192">
        <f>IF(AND(Daten!$AD391&lt;=Limits!$I$70,Daten!$AE391&gt;=Limits!$I$70)=TRUE,1,0)</f>
        <v>0</v>
      </c>
      <c r="T391" s="193">
        <f ca="1">IF(Daten!$Y391=Sprache!$A$135,1,0)</f>
        <v>0</v>
      </c>
      <c r="U391" s="124" t="str">
        <f ca="1">Sprache!$A$67</f>
        <v>T-70 Поворотный подъемник</v>
      </c>
      <c r="V391" s="194">
        <v>16</v>
      </c>
      <c r="W391" s="193">
        <v>16</v>
      </c>
      <c r="X391" s="187" t="str">
        <f ca="1">Sprache!$A$141</f>
        <v>Alu</v>
      </c>
      <c r="Y391" s="187" t="str">
        <f ca="1">Sprache!$A$136</f>
        <v>nein</v>
      </c>
      <c r="Z391" s="187" t="str">
        <f ca="1">Sprache!$A$79</f>
        <v>Створка</v>
      </c>
      <c r="AA391" s="187">
        <v>350</v>
      </c>
      <c r="AB391" s="124">
        <v>399</v>
      </c>
      <c r="AC391" s="187"/>
      <c r="AD391" s="195">
        <v>2.2999999999999998</v>
      </c>
      <c r="AE391" s="196">
        <v>7.5</v>
      </c>
      <c r="AF391" s="263" t="str">
        <f>MID(Tabelle2[[#This Row],[bnr full]],1,4)</f>
        <v>F151</v>
      </c>
      <c r="AG391" s="264" t="str">
        <f>MID(Tabelle2[[#This Row],[bnr full]],5,3)</f>
        <v>147</v>
      </c>
      <c r="AH391" s="265" t="str">
        <f>MID(Tabelle2[[#This Row],[bnr full]],8,3)</f>
        <v>690</v>
      </c>
      <c r="AI391" s="264" t="str">
        <f>MID(Tabelle2[[#This Row],[bnr full]],11,3)</f>
        <v>201</v>
      </c>
      <c r="AJ391" s="252" t="str">
        <f>MID(Tabelle2[[#This Row],[bnr full]],11,3)</f>
        <v>201</v>
      </c>
      <c r="AK391" s="197" t="s">
        <v>802</v>
      </c>
      <c r="AL391" s="124" t="str">
        <f ca="1">Sprache!$A$111</f>
        <v>Комплект (Л + П)</v>
      </c>
      <c r="AM391" s="187" t="s">
        <v>25</v>
      </c>
      <c r="AN391" s="187" t="str">
        <f ca="1">Sprache!$A$128</f>
        <v>Пружина, оранжевая</v>
      </c>
      <c r="AO391" s="187" t="s">
        <v>25</v>
      </c>
      <c r="AP391" s="187" t="s">
        <v>25</v>
      </c>
      <c r="AQ391" s="187">
        <f>Limits!$K$9</f>
        <v>200</v>
      </c>
      <c r="AR391" s="124">
        <v>1200</v>
      </c>
      <c r="AS391" s="187"/>
      <c r="AT391" s="124"/>
    </row>
    <row r="392" spans="1:55" hidden="1" x14ac:dyDescent="0.25">
      <c r="A392" s="12" t="str">
        <f ca="1">IF(F392+G392+H392+I392+J392+D392+E392=3,IF(Tabelle2[[#This Row],[Kappe Weiß]]=Limits!$R$29,1,""),"")</f>
        <v/>
      </c>
      <c r="B392" s="12" t="str">
        <f ca="1">IF(G392+H392+I392+J392+E392+F392=2,IF(Tabelle2[[#This Row],[Kappe Weiß]]=Limits!$R$29,1,""),"")</f>
        <v/>
      </c>
      <c r="C392" s="291">
        <v>0</v>
      </c>
      <c r="D392" s="171">
        <f>IF(Limits!$P$7=TRUE,1,0)</f>
        <v>0</v>
      </c>
      <c r="E392" s="172">
        <f>IF(Daten!$P392+Daten!$Q392+Daten!$S392=3,1,0)</f>
        <v>0</v>
      </c>
      <c r="F392" s="173">
        <f ca="1">IF(AND(Limits!$Q$21=TRUE,Daten!O392=1)=TRUE,1,0)</f>
        <v>0</v>
      </c>
      <c r="G392" s="174">
        <f>IF(AND(Limits!$Q$25=TRUE,Daten!N392=1)=TRUE,1,0)</f>
        <v>0</v>
      </c>
      <c r="H392" s="174">
        <f>IF(AND(Limits!$Q$24=TRUE,Daten!M392=1)=TRUE,1,0)</f>
        <v>0</v>
      </c>
      <c r="I392" s="174">
        <f>IF(AND(Limits!$Q$23=TRUE,Daten!L392=1)=TRUE,1,0)</f>
        <v>0</v>
      </c>
      <c r="J392" s="174">
        <f>IF(AND(Limits!$Q$22=TRUE,Daten!K392=1)=TRUE,1,0)</f>
        <v>0</v>
      </c>
      <c r="K392" s="188">
        <f>IF(Daten!$V392=13,1,0)</f>
        <v>0</v>
      </c>
      <c r="L392" s="189">
        <f>IF(Daten!$V392&lt;&gt;Daten!$W392,1,IF(Daten!$V392=14,1,0))</f>
        <v>0</v>
      </c>
      <c r="M392" s="189">
        <f>IF(Daten!$V392&lt;&gt;Daten!$W392,1,IF(Daten!$V392=16,1,0))</f>
        <v>0</v>
      </c>
      <c r="N392" s="189">
        <f>IF(Daten!$W392=17,1,0)</f>
        <v>1</v>
      </c>
      <c r="O392" s="190">
        <f ca="1">IF(Daten!$X392=Sprache!$A$70,1,0)</f>
        <v>0</v>
      </c>
      <c r="P392" s="191">
        <f>IF(AND(Daten!$AQ392&lt;=KINVARO!$AW$3,Daten!$AR392&gt;=KINVARO!$AW$3)=TRUE,1,0)</f>
        <v>1</v>
      </c>
      <c r="Q392" s="192">
        <f>IF(AND(Daten!$AA392&lt;=KINVARO!$AW$4,Daten!$AB392&gt;=KINVARO!$AW$4)=TRUE,1,0)</f>
        <v>0</v>
      </c>
      <c r="R392" s="192"/>
      <c r="S392" s="192">
        <f>IF(AND(Daten!$AD392&lt;=Limits!$I$70,Daten!$AE392&gt;=Limits!$I$70)=TRUE,1,0)</f>
        <v>0</v>
      </c>
      <c r="T392" s="193">
        <f ca="1">IF(Daten!$Y392=Sprache!$A$135,1,0)</f>
        <v>0</v>
      </c>
      <c r="U392" s="124" t="str">
        <f ca="1">Sprache!$A$67</f>
        <v>T-70 Поворотный подъемник</v>
      </c>
      <c r="V392" s="194">
        <v>17</v>
      </c>
      <c r="W392" s="193">
        <v>17</v>
      </c>
      <c r="X392" s="187" t="str">
        <f ca="1">Sprache!$A$141</f>
        <v>Alu</v>
      </c>
      <c r="Y392" s="187" t="str">
        <f ca="1">Sprache!$A$136</f>
        <v>nein</v>
      </c>
      <c r="Z392" s="187" t="str">
        <f ca="1">Sprache!$A$79</f>
        <v>Створка</v>
      </c>
      <c r="AA392" s="187">
        <v>350</v>
      </c>
      <c r="AB392" s="124">
        <v>399</v>
      </c>
      <c r="AC392" s="187"/>
      <c r="AD392" s="195">
        <v>1.8</v>
      </c>
      <c r="AE392" s="196">
        <v>6.3</v>
      </c>
      <c r="AF392" s="263" t="str">
        <f>MID(Tabelle2[[#This Row],[bnr full]],1,4)</f>
        <v>F151</v>
      </c>
      <c r="AG392" s="264" t="str">
        <f>MID(Tabelle2[[#This Row],[bnr full]],5,3)</f>
        <v>147</v>
      </c>
      <c r="AH392" s="265" t="str">
        <f>MID(Tabelle2[[#This Row],[bnr full]],8,3)</f>
        <v>691</v>
      </c>
      <c r="AI392" s="264" t="str">
        <f>MID(Tabelle2[[#This Row],[bnr full]],11,3)</f>
        <v>201</v>
      </c>
      <c r="AJ392" s="252" t="str">
        <f>MID(Tabelle2[[#This Row],[bnr full]],11,3)</f>
        <v>201</v>
      </c>
      <c r="AK392" s="197" t="s">
        <v>803</v>
      </c>
      <c r="AL392" s="124" t="str">
        <f ca="1">Sprache!$A$111</f>
        <v>Комплект (Л + П)</v>
      </c>
      <c r="AM392" s="187" t="s">
        <v>25</v>
      </c>
      <c r="AN392" s="187" t="str">
        <f ca="1">Sprache!$A$127</f>
        <v>Пружина, белая</v>
      </c>
      <c r="AO392" s="187" t="s">
        <v>25</v>
      </c>
      <c r="AP392" s="187" t="s">
        <v>25</v>
      </c>
      <c r="AQ392" s="187">
        <f>Limits!$K$9</f>
        <v>200</v>
      </c>
      <c r="AR392" s="124">
        <v>1200</v>
      </c>
      <c r="AS392" s="187"/>
      <c r="AT392" s="124"/>
      <c r="AU392"/>
      <c r="AV392"/>
      <c r="AY392"/>
      <c r="AZ392"/>
      <c r="BA392"/>
      <c r="BB392"/>
      <c r="BC392"/>
    </row>
    <row r="393" spans="1:55" hidden="1" x14ac:dyDescent="0.25">
      <c r="A393" s="12" t="str">
        <f ca="1">IF(F393+G393+H393+I393+J393+D393+E393=3,IF(Tabelle2[[#This Row],[Kappe Weiß]]=Limits!$R$29,1,""),"")</f>
        <v/>
      </c>
      <c r="B393" s="12" t="str">
        <f ca="1">IF(G393+H393+I393+J393+E393+F393=2,IF(Tabelle2[[#This Row],[Kappe Weiß]]=Limits!$R$29,1,""),"")</f>
        <v/>
      </c>
      <c r="C393" s="291">
        <v>0</v>
      </c>
      <c r="D393" s="171">
        <f>IF(Limits!$P$7=TRUE,1,0)</f>
        <v>0</v>
      </c>
      <c r="E393" s="172">
        <f>IF(Daten!$P393+Daten!$Q393+Daten!$S393=3,1,0)</f>
        <v>0</v>
      </c>
      <c r="F393" s="173">
        <f ca="1">IF(AND(Limits!$Q$21=TRUE,Daten!O393=1)=TRUE,1,0)</f>
        <v>0</v>
      </c>
      <c r="G393" s="174">
        <f>IF(AND(Limits!$Q$25=TRUE,Daten!N393=1)=TRUE,1,0)</f>
        <v>0</v>
      </c>
      <c r="H393" s="174">
        <f>IF(AND(Limits!$Q$24=TRUE,Daten!M393=1)=TRUE,1,0)</f>
        <v>0</v>
      </c>
      <c r="I393" s="174">
        <f>IF(AND(Limits!$Q$23=TRUE,Daten!L393=1)=TRUE,1,0)</f>
        <v>0</v>
      </c>
      <c r="J393" s="174">
        <f>IF(AND(Limits!$Q$22=TRUE,Daten!K393=1)=TRUE,1,0)</f>
        <v>0</v>
      </c>
      <c r="K393" s="188">
        <f>IF(Daten!$V393=13,1,0)</f>
        <v>0</v>
      </c>
      <c r="L393" s="189">
        <f>IF(Daten!$V393&lt;&gt;Daten!$W393,1,IF(Daten!$V393=14,1,0))</f>
        <v>0</v>
      </c>
      <c r="M393" s="189">
        <f>IF(Daten!$V393&lt;&gt;Daten!$W393,1,IF(Daten!$V393=16,1,0))</f>
        <v>0</v>
      </c>
      <c r="N393" s="189">
        <f>IF(Daten!$W393=17,1,0)</f>
        <v>1</v>
      </c>
      <c r="O393" s="190">
        <f ca="1">IF(Daten!$X393=Sprache!$A$70,1,0)</f>
        <v>0</v>
      </c>
      <c r="P393" s="191">
        <f>IF(AND(Daten!$AQ393&lt;=KINVARO!$AW$3,Daten!$AR393&gt;=KINVARO!$AW$3)=TRUE,1,0)</f>
        <v>1</v>
      </c>
      <c r="Q393" s="192">
        <f>IF(AND(Daten!$AA393&lt;=KINVARO!$AW$4,Daten!$AB393&gt;=KINVARO!$AW$4)=TRUE,1,0)</f>
        <v>0</v>
      </c>
      <c r="R393" s="192"/>
      <c r="S393" s="192">
        <f>IF(AND(Daten!$AD393&lt;=Limits!$I$70,Daten!$AE393&gt;=Limits!$I$70)=TRUE,1,0)</f>
        <v>0</v>
      </c>
      <c r="T393" s="193">
        <f ca="1">IF(Daten!$Y393=Sprache!$A$135,1,0)</f>
        <v>0</v>
      </c>
      <c r="U393" s="124" t="str">
        <f ca="1">Sprache!$A$67</f>
        <v>T-70 Поворотный подъемник</v>
      </c>
      <c r="V393" s="194">
        <v>17</v>
      </c>
      <c r="W393" s="193">
        <v>17</v>
      </c>
      <c r="X393" s="187" t="str">
        <f ca="1">Sprache!$A$141</f>
        <v>Alu</v>
      </c>
      <c r="Y393" s="187" t="str">
        <f ca="1">Sprache!$A$136</f>
        <v>nein</v>
      </c>
      <c r="Z393" s="187" t="str">
        <f ca="1">Sprache!$A$79</f>
        <v>Створка</v>
      </c>
      <c r="AA393" s="187">
        <v>350</v>
      </c>
      <c r="AB393" s="124">
        <v>399</v>
      </c>
      <c r="AC393" s="187"/>
      <c r="AD393" s="195">
        <v>2.2999999999999998</v>
      </c>
      <c r="AE393" s="196">
        <v>7.5</v>
      </c>
      <c r="AF393" s="263" t="str">
        <f>MID(Tabelle2[[#This Row],[bnr full]],1,4)</f>
        <v>F151</v>
      </c>
      <c r="AG393" s="264" t="str">
        <f>MID(Tabelle2[[#This Row],[bnr full]],5,3)</f>
        <v>147</v>
      </c>
      <c r="AH393" s="265" t="str">
        <f>MID(Tabelle2[[#This Row],[bnr full]],8,3)</f>
        <v>691</v>
      </c>
      <c r="AI393" s="264" t="str">
        <f>MID(Tabelle2[[#This Row],[bnr full]],11,3)</f>
        <v>201</v>
      </c>
      <c r="AJ393" s="252" t="str">
        <f>MID(Tabelle2[[#This Row],[bnr full]],11,3)</f>
        <v>201</v>
      </c>
      <c r="AK393" s="197" t="s">
        <v>803</v>
      </c>
      <c r="AL393" s="124" t="str">
        <f ca="1">Sprache!$A$111</f>
        <v>Комплект (Л + П)</v>
      </c>
      <c r="AM393" s="187" t="s">
        <v>25</v>
      </c>
      <c r="AN393" s="187" t="str">
        <f ca="1">Sprache!$A$128</f>
        <v>Пружина, оранжевая</v>
      </c>
      <c r="AO393" s="187" t="s">
        <v>25</v>
      </c>
      <c r="AP393" s="187" t="s">
        <v>25</v>
      </c>
      <c r="AQ393" s="187">
        <f>Limits!$K$9</f>
        <v>200</v>
      </c>
      <c r="AR393" s="124">
        <v>1200</v>
      </c>
      <c r="AS393" s="187"/>
      <c r="AT393" s="124"/>
      <c r="AU393"/>
      <c r="AV393"/>
      <c r="AY393"/>
      <c r="AZ393"/>
      <c r="BA393"/>
      <c r="BB393"/>
      <c r="BC393"/>
    </row>
    <row r="394" spans="1:55" hidden="1" x14ac:dyDescent="0.25">
      <c r="A394" s="12" t="str">
        <f ca="1">IF(F394+G394+H394+I394+J394+D394+E394=3,IF(Tabelle2[[#This Row],[Kappe Weiß]]=Limits!$R$29,1,""),"")</f>
        <v/>
      </c>
      <c r="B394" s="12" t="str">
        <f ca="1">IF(G394+H394+I394+J394+E394+F394=2,IF(Tabelle2[[#This Row],[Kappe Weiß]]=Limits!$R$29,1,""),"")</f>
        <v/>
      </c>
      <c r="C394" s="292">
        <v>0</v>
      </c>
      <c r="D394" s="171">
        <f>IF(Limits!$P$7=TRUE,1,0)</f>
        <v>0</v>
      </c>
      <c r="E394" s="172">
        <f>IF(Daten!$P394+Daten!$Q394+Daten!$S394=3,1,0)</f>
        <v>0</v>
      </c>
      <c r="F394" s="173">
        <f ca="1">IF(AND(Limits!$Q$21=TRUE,Daten!O394=1)=TRUE,1,0)</f>
        <v>1</v>
      </c>
      <c r="G394" s="174">
        <f ca="1">IF(AND(Limits!$Q$25=TRUE,Daten!N394=1)=TRUE,1,0)</f>
        <v>0</v>
      </c>
      <c r="H394" s="174">
        <f ca="1">IF(AND(Limits!$Q$24=TRUE,Daten!M394=1)=TRUE,1,0)</f>
        <v>0</v>
      </c>
      <c r="I394" s="174">
        <f ca="1">IF(AND(Limits!$Q$23=TRUE,Daten!L394=1)=TRUE,1,0)</f>
        <v>0</v>
      </c>
      <c r="J394" s="174">
        <f ca="1">IF(AND(Limits!$Q$22=TRUE,Daten!K394=1)=TRUE,1,0)</f>
        <v>0</v>
      </c>
      <c r="K394" s="188">
        <f ca="1">IF(Daten!$V394=13,1,0)</f>
        <v>0</v>
      </c>
      <c r="L394" s="189">
        <f ca="1">IF(Daten!$V394&lt;&gt;Daten!$W394,1,IF(Daten!$V394=14,1,0))</f>
        <v>0</v>
      </c>
      <c r="M394" s="189">
        <f ca="1">IF(Daten!$V394&lt;&gt;Daten!$W394,1,IF(Daten!$V394=16,1,0))</f>
        <v>0</v>
      </c>
      <c r="N394" s="189">
        <f ca="1">IF(Daten!$W394=17,1,0)</f>
        <v>0</v>
      </c>
      <c r="O394" s="190">
        <f ca="1">IF(Daten!$X394=Sprache!$A$70,1,0)</f>
        <v>1</v>
      </c>
      <c r="P394" s="198">
        <f>IF(AND(Daten!$AQ394&lt;=KINVARO!$AW$3,Daten!$AR394&gt;=KINVARO!$AW$3)=TRUE,1,0)</f>
        <v>1</v>
      </c>
      <c r="Q394" s="199">
        <f>IF(AND(Daten!$AA394&lt;=KINVARO!$AW$4,Daten!$AB394&gt;=KINVARO!$AW$4)=TRUE,1,0)</f>
        <v>0</v>
      </c>
      <c r="R394" s="199"/>
      <c r="S394" s="199">
        <f>IF(AND(Daten!$AD394&lt;=Limits!$I$70,Daten!$AE394&gt;=Limits!$I$70)=TRUE,1,0)</f>
        <v>0</v>
      </c>
      <c r="T394" s="200">
        <f ca="1">IF(Daten!$Y394=Sprache!$A$135,1,0)</f>
        <v>0</v>
      </c>
      <c r="U394" s="201" t="str">
        <f ca="1">Sprache!$A$67</f>
        <v>T-70 Поворотный подъемник</v>
      </c>
      <c r="V394" s="202" t="str">
        <f ca="1">Sprache!$A$74</f>
        <v>var</v>
      </c>
      <c r="W394" s="200" t="str">
        <f ca="1">Sprache!$A$74</f>
        <v>var</v>
      </c>
      <c r="X394" s="203" t="str">
        <f ca="1">Sprache!$A$70</f>
        <v>соединение с древесиной</v>
      </c>
      <c r="Y394" s="187" t="str">
        <f ca="1">Sprache!$A$136</f>
        <v>nein</v>
      </c>
      <c r="Z394" s="203" t="str">
        <f ca="1">Sprache!$A$79</f>
        <v>Створка</v>
      </c>
      <c r="AA394" s="203">
        <v>400</v>
      </c>
      <c r="AB394" s="201">
        <v>449</v>
      </c>
      <c r="AC394" s="203"/>
      <c r="AD394" s="204">
        <v>1.7</v>
      </c>
      <c r="AE394" s="205">
        <v>5.4</v>
      </c>
      <c r="AF394" s="266" t="str">
        <f>MID(Tabelle2[[#This Row],[bnr full]],1,4)</f>
        <v>F151</v>
      </c>
      <c r="AG394" s="267" t="str">
        <f>MID(Tabelle2[[#This Row],[bnr full]],5,3)</f>
        <v>147</v>
      </c>
      <c r="AH394" s="268" t="str">
        <f>MID(Tabelle2[[#This Row],[bnr full]],8,3)</f>
        <v>692</v>
      </c>
      <c r="AI394" s="267" t="str">
        <f>MID(Tabelle2[[#This Row],[bnr full]],11,3)</f>
        <v>201</v>
      </c>
      <c r="AJ394" s="253" t="str">
        <f>MID(Tabelle2[[#This Row],[bnr full]],11,3)</f>
        <v>201</v>
      </c>
      <c r="AK394" s="206" t="s">
        <v>799</v>
      </c>
      <c r="AL394" s="201" t="str">
        <f ca="1">Sprache!$A$111</f>
        <v>Комплект (Л + П)</v>
      </c>
      <c r="AM394" s="203" t="s">
        <v>25</v>
      </c>
      <c r="AN394" s="203" t="str">
        <f ca="1">Sprache!$A$127</f>
        <v>Пружина, белая</v>
      </c>
      <c r="AO394" s="187" t="s">
        <v>25</v>
      </c>
      <c r="AP394" s="187" t="s">
        <v>25</v>
      </c>
      <c r="AQ394" s="203">
        <f>Limits!$K$9</f>
        <v>200</v>
      </c>
      <c r="AR394" s="201">
        <v>1200</v>
      </c>
      <c r="AS394" s="187"/>
      <c r="AT394" s="124"/>
      <c r="AU394"/>
      <c r="AV394"/>
      <c r="AY394"/>
      <c r="AZ394"/>
      <c r="BA394"/>
      <c r="BB394"/>
      <c r="BC394"/>
    </row>
    <row r="395" spans="1:55" hidden="1" x14ac:dyDescent="0.25">
      <c r="A395" s="12" t="str">
        <f ca="1">IF(F395+G395+H395+I395+J395+D395+E395=3,IF(Tabelle2[[#This Row],[Kappe Weiß]]=Limits!$R$29,1,""),"")</f>
        <v/>
      </c>
      <c r="B395" s="12" t="str">
        <f ca="1">IF(G395+H395+I395+J395+E395+F395=2,IF(Tabelle2[[#This Row],[Kappe Weiß]]=Limits!$R$29,1,""),"")</f>
        <v/>
      </c>
      <c r="C395" s="291">
        <v>0</v>
      </c>
      <c r="D395" s="171">
        <f>IF(Limits!$P$7=TRUE,1,0)</f>
        <v>0</v>
      </c>
      <c r="E395" s="172">
        <f>IF(Daten!$P395+Daten!$Q395+Daten!$S395=3,1,0)</f>
        <v>0</v>
      </c>
      <c r="F395" s="173">
        <f ca="1">IF(AND(Limits!$Q$21=TRUE,Daten!O395=1)=TRUE,1,0)</f>
        <v>1</v>
      </c>
      <c r="G395" s="174">
        <f ca="1">IF(AND(Limits!$Q$25=TRUE,Daten!N395=1)=TRUE,1,0)</f>
        <v>0</v>
      </c>
      <c r="H395" s="174">
        <f ca="1">IF(AND(Limits!$Q$24=TRUE,Daten!M395=1)=TRUE,1,0)</f>
        <v>0</v>
      </c>
      <c r="I395" s="174">
        <f ca="1">IF(AND(Limits!$Q$23=TRUE,Daten!L395=1)=TRUE,1,0)</f>
        <v>0</v>
      </c>
      <c r="J395" s="174">
        <f ca="1">IF(AND(Limits!$Q$22=TRUE,Daten!K395=1)=TRUE,1,0)</f>
        <v>0</v>
      </c>
      <c r="K395" s="188">
        <f ca="1">IF(Daten!$V395=13,1,0)</f>
        <v>0</v>
      </c>
      <c r="L395" s="189">
        <f ca="1">IF(Daten!$V395&lt;&gt;Daten!$W395,1,IF(Daten!$V395=14,1,0))</f>
        <v>0</v>
      </c>
      <c r="M395" s="189">
        <f ca="1">IF(Daten!$V395&lt;&gt;Daten!$W395,1,IF(Daten!$V395=16,1,0))</f>
        <v>0</v>
      </c>
      <c r="N395" s="189">
        <f ca="1">IF(Daten!$W395=17,1,0)</f>
        <v>0</v>
      </c>
      <c r="O395" s="190">
        <f ca="1">IF(Daten!$X395=Sprache!$A$70,1,0)</f>
        <v>1</v>
      </c>
      <c r="P395" s="191">
        <f>IF(AND(Daten!$AQ395&lt;=KINVARO!$AW$3,Daten!$AR395&gt;=KINVARO!$AW$3)=TRUE,1,0)</f>
        <v>1</v>
      </c>
      <c r="Q395" s="192">
        <f>IF(AND(Daten!$AA395&lt;=KINVARO!$AW$4,Daten!$AB395&gt;=KINVARO!$AW$4)=TRUE,1,0)</f>
        <v>0</v>
      </c>
      <c r="R395" s="192"/>
      <c r="S395" s="192">
        <f>IF(AND(Daten!$AD395&lt;=Limits!$I$70,Daten!$AE395&gt;=Limits!$I$70)=TRUE,1,0)</f>
        <v>0</v>
      </c>
      <c r="T395" s="193">
        <f ca="1">IF(Daten!$Y395=Sprache!$A$135,1,0)</f>
        <v>0</v>
      </c>
      <c r="U395" s="124" t="str">
        <f ca="1">Sprache!$A$67</f>
        <v>T-70 Поворотный подъемник</v>
      </c>
      <c r="V395" s="194" t="str">
        <f ca="1">Sprache!$A$74</f>
        <v>var</v>
      </c>
      <c r="W395" s="193" t="str">
        <f ca="1">Sprache!$A$74</f>
        <v>var</v>
      </c>
      <c r="X395" s="187" t="str">
        <f ca="1">Sprache!$A$70</f>
        <v>соединение с древесиной</v>
      </c>
      <c r="Y395" s="187" t="str">
        <f ca="1">Sprache!$A$136</f>
        <v>nein</v>
      </c>
      <c r="Z395" s="187" t="str">
        <f ca="1">Sprache!$A$79</f>
        <v>Створка</v>
      </c>
      <c r="AA395" s="187">
        <v>400</v>
      </c>
      <c r="AB395" s="124">
        <v>449</v>
      </c>
      <c r="AC395" s="187"/>
      <c r="AD395" s="195">
        <v>2.1</v>
      </c>
      <c r="AE395" s="196">
        <v>6.8</v>
      </c>
      <c r="AF395" s="263" t="str">
        <f>MID(Tabelle2[[#This Row],[bnr full]],1,4)</f>
        <v>F151</v>
      </c>
      <c r="AG395" s="264" t="str">
        <f>MID(Tabelle2[[#This Row],[bnr full]],5,3)</f>
        <v>147</v>
      </c>
      <c r="AH395" s="265" t="str">
        <f>MID(Tabelle2[[#This Row],[bnr full]],8,3)</f>
        <v>692</v>
      </c>
      <c r="AI395" s="264" t="str">
        <f>MID(Tabelle2[[#This Row],[bnr full]],11,3)</f>
        <v>201</v>
      </c>
      <c r="AJ395" s="252" t="str">
        <f>MID(Tabelle2[[#This Row],[bnr full]],11,3)</f>
        <v>201</v>
      </c>
      <c r="AK395" s="197" t="s">
        <v>799</v>
      </c>
      <c r="AL395" s="124" t="str">
        <f ca="1">Sprache!$A$111</f>
        <v>Комплект (Л + П)</v>
      </c>
      <c r="AM395" s="187" t="s">
        <v>25</v>
      </c>
      <c r="AN395" s="187" t="str">
        <f ca="1">Sprache!$A$128</f>
        <v>Пружина, оранжевая</v>
      </c>
      <c r="AO395" s="187" t="s">
        <v>25</v>
      </c>
      <c r="AP395" s="187" t="s">
        <v>25</v>
      </c>
      <c r="AQ395" s="187">
        <f>Limits!$K$9</f>
        <v>200</v>
      </c>
      <c r="AR395" s="124">
        <v>1200</v>
      </c>
      <c r="AS395" s="187"/>
      <c r="AT395" s="124"/>
      <c r="AU395"/>
      <c r="AV395"/>
      <c r="AY395"/>
      <c r="AZ395"/>
      <c r="BA395"/>
      <c r="BB395"/>
      <c r="BC395"/>
    </row>
    <row r="396" spans="1:55" hidden="1" x14ac:dyDescent="0.25">
      <c r="A396" s="12" t="str">
        <f ca="1">IF(F396+G396+H396+I396+J396+D396+E396=3,IF(Tabelle2[[#This Row],[Kappe Weiß]]=Limits!$R$29,1,""),"")</f>
        <v/>
      </c>
      <c r="B396" s="12" t="str">
        <f ca="1">IF(G396+H396+I396+J396+E396+F396=2,IF(Tabelle2[[#This Row],[Kappe Weiß]]=Limits!$R$29,1,""),"")</f>
        <v/>
      </c>
      <c r="C396" s="291">
        <v>0</v>
      </c>
      <c r="D396" s="171">
        <f>IF(Limits!$P$7=TRUE,1,0)</f>
        <v>0</v>
      </c>
      <c r="E396" s="172">
        <f>IF(Daten!$P396+Daten!$Q396+Daten!$S396=3,1,0)</f>
        <v>0</v>
      </c>
      <c r="F396" s="173">
        <f ca="1">IF(AND(Limits!$Q$21=TRUE,Daten!O396=1)=TRUE,1,0)</f>
        <v>0</v>
      </c>
      <c r="G396" s="174">
        <f>IF(AND(Limits!$Q$25=TRUE,Daten!N396=1)=TRUE,1,0)</f>
        <v>0</v>
      </c>
      <c r="H396" s="174">
        <f>IF(AND(Limits!$Q$24=TRUE,Daten!M396=1)=TRUE,1,0)</f>
        <v>0</v>
      </c>
      <c r="I396" s="174">
        <f>IF(AND(Limits!$Q$23=TRUE,Daten!L396=1)=TRUE,1,0)</f>
        <v>0</v>
      </c>
      <c r="J396" s="174">
        <f>IF(AND(Limits!$Q$22=TRUE,Daten!K396=1)=TRUE,1,0)</f>
        <v>0</v>
      </c>
      <c r="K396" s="188">
        <f>IF(Daten!$V396=13,1,0)</f>
        <v>1</v>
      </c>
      <c r="L396" s="189">
        <f>IF(Daten!$V396&lt;&gt;Daten!$W396,1,IF(Daten!$V396=14,1,0))</f>
        <v>0</v>
      </c>
      <c r="M396" s="189">
        <f>IF(Daten!$V396&lt;&gt;Daten!$W396,1,IF(Daten!$V396=16,1,0))</f>
        <v>0</v>
      </c>
      <c r="N396" s="189">
        <f>IF(Daten!$W396=17,1,0)</f>
        <v>0</v>
      </c>
      <c r="O396" s="190">
        <f ca="1">IF(Daten!$X396=Sprache!$A$70,1,0)</f>
        <v>0</v>
      </c>
      <c r="P396" s="191">
        <f>IF(AND(Daten!$AQ396&lt;=KINVARO!$AW$3,Daten!$AR396&gt;=KINVARO!$AW$3)=TRUE,1,0)</f>
        <v>1</v>
      </c>
      <c r="Q396" s="192">
        <f>IF(AND(Daten!$AA396&lt;=KINVARO!$AW$4,Daten!$AB396&gt;=KINVARO!$AW$4)=TRUE,1,0)</f>
        <v>0</v>
      </c>
      <c r="R396" s="192"/>
      <c r="S396" s="192">
        <f>IF(AND(Daten!$AD396&lt;=Limits!$I$70,Daten!$AE396&gt;=Limits!$I$70)=TRUE,1,0)</f>
        <v>0</v>
      </c>
      <c r="T396" s="193">
        <f ca="1">IF(Daten!$Y396=Sprache!$A$135,1,0)</f>
        <v>0</v>
      </c>
      <c r="U396" s="124" t="str">
        <f ca="1">Sprache!$A$67</f>
        <v>T-70 Поворотный подъемник</v>
      </c>
      <c r="V396" s="194">
        <v>13</v>
      </c>
      <c r="W396" s="193">
        <v>13</v>
      </c>
      <c r="X396" s="187" t="str">
        <f ca="1">Sprache!$A$141</f>
        <v>Alu</v>
      </c>
      <c r="Y396" s="187" t="str">
        <f ca="1">Sprache!$A$136</f>
        <v>nein</v>
      </c>
      <c r="Z396" s="187" t="str">
        <f ca="1">Sprache!$A$79</f>
        <v>Створка</v>
      </c>
      <c r="AA396" s="187">
        <v>400</v>
      </c>
      <c r="AB396" s="124">
        <v>449</v>
      </c>
      <c r="AC396" s="187"/>
      <c r="AD396" s="195">
        <v>1.7</v>
      </c>
      <c r="AE396" s="196">
        <v>5.4</v>
      </c>
      <c r="AF396" s="263" t="str">
        <f>MID(Tabelle2[[#This Row],[bnr full]],1,4)</f>
        <v>F151</v>
      </c>
      <c r="AG396" s="264" t="str">
        <f>MID(Tabelle2[[#This Row],[bnr full]],5,3)</f>
        <v>147</v>
      </c>
      <c r="AH396" s="265" t="str">
        <f>MID(Tabelle2[[#This Row],[bnr full]],8,3)</f>
        <v>688</v>
      </c>
      <c r="AI396" s="264" t="str">
        <f>MID(Tabelle2[[#This Row],[bnr full]],11,3)</f>
        <v>201</v>
      </c>
      <c r="AJ396" s="252" t="str">
        <f>MID(Tabelle2[[#This Row],[bnr full]],11,3)</f>
        <v>201</v>
      </c>
      <c r="AK396" s="197" t="s">
        <v>800</v>
      </c>
      <c r="AL396" s="124" t="str">
        <f ca="1">Sprache!$A$111</f>
        <v>Комплект (Л + П)</v>
      </c>
      <c r="AM396" s="187" t="s">
        <v>25</v>
      </c>
      <c r="AN396" s="187" t="str">
        <f ca="1">Sprache!$A$127</f>
        <v>Пружина, белая</v>
      </c>
      <c r="AO396" s="187" t="s">
        <v>25</v>
      </c>
      <c r="AP396" s="187" t="s">
        <v>25</v>
      </c>
      <c r="AQ396" s="187">
        <f>Limits!$K$9</f>
        <v>200</v>
      </c>
      <c r="AR396" s="124">
        <v>1200</v>
      </c>
      <c r="AS396" s="187"/>
      <c r="AT396" s="124"/>
      <c r="AU396"/>
      <c r="AV396"/>
      <c r="AY396"/>
      <c r="AZ396"/>
      <c r="BA396"/>
      <c r="BB396"/>
      <c r="BC396"/>
    </row>
    <row r="397" spans="1:55" hidden="1" x14ac:dyDescent="0.25">
      <c r="A397" s="12" t="str">
        <f ca="1">IF(F397+G397+H397+I397+J397+D397+E397=3,IF(Tabelle2[[#This Row],[Kappe Weiß]]=Limits!$R$29,1,""),"")</f>
        <v/>
      </c>
      <c r="B397" s="12" t="str">
        <f ca="1">IF(G397+H397+I397+J397+E397+F397=2,IF(Tabelle2[[#This Row],[Kappe Weiß]]=Limits!$R$29,1,""),"")</f>
        <v/>
      </c>
      <c r="C397" s="291">
        <v>0</v>
      </c>
      <c r="D397" s="171">
        <f>IF(Limits!$P$7=TRUE,1,0)</f>
        <v>0</v>
      </c>
      <c r="E397" s="172">
        <f>IF(Daten!$P397+Daten!$Q397+Daten!$S397=3,1,0)</f>
        <v>0</v>
      </c>
      <c r="F397" s="173">
        <f ca="1">IF(AND(Limits!$Q$21=TRUE,Daten!O397=1)=TRUE,1,0)</f>
        <v>0</v>
      </c>
      <c r="G397" s="174">
        <f>IF(AND(Limits!$Q$25=TRUE,Daten!N397=1)=TRUE,1,0)</f>
        <v>0</v>
      </c>
      <c r="H397" s="174">
        <f>IF(AND(Limits!$Q$24=TRUE,Daten!M397=1)=TRUE,1,0)</f>
        <v>0</v>
      </c>
      <c r="I397" s="174">
        <f>IF(AND(Limits!$Q$23=TRUE,Daten!L397=1)=TRUE,1,0)</f>
        <v>0</v>
      </c>
      <c r="J397" s="174">
        <f>IF(AND(Limits!$Q$22=TRUE,Daten!K397=1)=TRUE,1,0)</f>
        <v>0</v>
      </c>
      <c r="K397" s="188">
        <f>IF(Daten!$V397=13,1,0)</f>
        <v>1</v>
      </c>
      <c r="L397" s="189">
        <f>IF(Daten!$V397&lt;&gt;Daten!$W397,1,IF(Daten!$V397=14,1,0))</f>
        <v>0</v>
      </c>
      <c r="M397" s="189">
        <f>IF(Daten!$V397&lt;&gt;Daten!$W397,1,IF(Daten!$V397=16,1,0))</f>
        <v>0</v>
      </c>
      <c r="N397" s="189">
        <f>IF(Daten!$W397=17,1,0)</f>
        <v>0</v>
      </c>
      <c r="O397" s="190">
        <f ca="1">IF(Daten!$X397=Sprache!$A$70,1,0)</f>
        <v>0</v>
      </c>
      <c r="P397" s="191">
        <f>IF(AND(Daten!$AQ397&lt;=KINVARO!$AW$3,Daten!$AR397&gt;=KINVARO!$AW$3)=TRUE,1,0)</f>
        <v>1</v>
      </c>
      <c r="Q397" s="192">
        <f>IF(AND(Daten!$AA397&lt;=KINVARO!$AW$4,Daten!$AB397&gt;=KINVARO!$AW$4)=TRUE,1,0)</f>
        <v>0</v>
      </c>
      <c r="R397" s="192"/>
      <c r="S397" s="192">
        <f>IF(AND(Daten!$AD397&lt;=Limits!$I$70,Daten!$AE397&gt;=Limits!$I$70)=TRUE,1,0)</f>
        <v>0</v>
      </c>
      <c r="T397" s="193">
        <f ca="1">IF(Daten!$Y397=Sprache!$A$135,1,0)</f>
        <v>0</v>
      </c>
      <c r="U397" s="124" t="str">
        <f ca="1">Sprache!$A$67</f>
        <v>T-70 Поворотный подъемник</v>
      </c>
      <c r="V397" s="194">
        <v>13</v>
      </c>
      <c r="W397" s="193">
        <v>13</v>
      </c>
      <c r="X397" s="187" t="str">
        <f ca="1">Sprache!$A$141</f>
        <v>Alu</v>
      </c>
      <c r="Y397" s="187" t="str">
        <f ca="1">Sprache!$A$136</f>
        <v>nein</v>
      </c>
      <c r="Z397" s="187" t="str">
        <f ca="1">Sprache!$A$79</f>
        <v>Створка</v>
      </c>
      <c r="AA397" s="187">
        <v>400</v>
      </c>
      <c r="AB397" s="124">
        <v>449</v>
      </c>
      <c r="AC397" s="187"/>
      <c r="AD397" s="195">
        <v>2.1</v>
      </c>
      <c r="AE397" s="196">
        <v>6.8</v>
      </c>
      <c r="AF397" s="263" t="str">
        <f>MID(Tabelle2[[#This Row],[bnr full]],1,4)</f>
        <v>F151</v>
      </c>
      <c r="AG397" s="264" t="str">
        <f>MID(Tabelle2[[#This Row],[bnr full]],5,3)</f>
        <v>147</v>
      </c>
      <c r="AH397" s="265" t="str">
        <f>MID(Tabelle2[[#This Row],[bnr full]],8,3)</f>
        <v>688</v>
      </c>
      <c r="AI397" s="264" t="str">
        <f>MID(Tabelle2[[#This Row],[bnr full]],11,3)</f>
        <v>201</v>
      </c>
      <c r="AJ397" s="252" t="str">
        <f>MID(Tabelle2[[#This Row],[bnr full]],11,3)</f>
        <v>201</v>
      </c>
      <c r="AK397" s="197" t="s">
        <v>800</v>
      </c>
      <c r="AL397" s="124" t="str">
        <f ca="1">Sprache!$A$111</f>
        <v>Комплект (Л + П)</v>
      </c>
      <c r="AM397" s="187" t="s">
        <v>25</v>
      </c>
      <c r="AN397" s="187" t="str">
        <f ca="1">Sprache!$A$128</f>
        <v>Пружина, оранжевая</v>
      </c>
      <c r="AO397" s="187" t="s">
        <v>25</v>
      </c>
      <c r="AP397" s="187" t="s">
        <v>25</v>
      </c>
      <c r="AQ397" s="187">
        <f>Limits!$K$9</f>
        <v>200</v>
      </c>
      <c r="AR397" s="124">
        <v>1200</v>
      </c>
      <c r="AS397" s="187"/>
      <c r="AT397" s="124"/>
      <c r="AU397"/>
      <c r="AV397"/>
      <c r="AY397"/>
      <c r="AZ397"/>
      <c r="BA397"/>
      <c r="BB397"/>
      <c r="BC397"/>
    </row>
    <row r="398" spans="1:55" hidden="1" x14ac:dyDescent="0.25">
      <c r="A398" s="12" t="str">
        <f ca="1">IF(F398+G398+H398+I398+J398+D398+E398=3,IF(Tabelle2[[#This Row],[Kappe Weiß]]=Limits!$R$29,1,""),"")</f>
        <v/>
      </c>
      <c r="B398" s="12" t="str">
        <f ca="1">IF(G398+H398+I398+J398+E398+F398=2,IF(Tabelle2[[#This Row],[Kappe Weiß]]=Limits!$R$29,1,""),"")</f>
        <v/>
      </c>
      <c r="C398" s="291">
        <v>0</v>
      </c>
      <c r="D398" s="171">
        <f>IF(Limits!$P$7=TRUE,1,0)</f>
        <v>0</v>
      </c>
      <c r="E398" s="172">
        <f>IF(Daten!$P398+Daten!$Q398+Daten!$S398=3,1,0)</f>
        <v>0</v>
      </c>
      <c r="F398" s="173">
        <f ca="1">IF(AND(Limits!$Q$21=TRUE,Daten!O398=1)=TRUE,1,0)</f>
        <v>0</v>
      </c>
      <c r="G398" s="174">
        <f>IF(AND(Limits!$Q$25=TRUE,Daten!N398=1)=TRUE,1,0)</f>
        <v>0</v>
      </c>
      <c r="H398" s="174">
        <f>IF(AND(Limits!$Q$24=TRUE,Daten!M398=1)=TRUE,1,0)</f>
        <v>0</v>
      </c>
      <c r="I398" s="174">
        <f>IF(AND(Limits!$Q$23=TRUE,Daten!L398=1)=TRUE,1,0)</f>
        <v>0</v>
      </c>
      <c r="J398" s="174">
        <f>IF(AND(Limits!$Q$22=TRUE,Daten!K398=1)=TRUE,1,0)</f>
        <v>0</v>
      </c>
      <c r="K398" s="188">
        <f>IF(Daten!$V398=13,1,0)</f>
        <v>0</v>
      </c>
      <c r="L398" s="189">
        <f>IF(Daten!$V398&lt;&gt;Daten!$W398,1,IF(Daten!$V398=14,1,0))</f>
        <v>1</v>
      </c>
      <c r="M398" s="189">
        <f>IF(Daten!$V398&lt;&gt;Daten!$W398,1,IF(Daten!$V398=16,1,0))</f>
        <v>0</v>
      </c>
      <c r="N398" s="189">
        <f>IF(Daten!$W398=17,1,0)</f>
        <v>0</v>
      </c>
      <c r="O398" s="190">
        <f ca="1">IF(Daten!$X398=Sprache!$A$70,1,0)</f>
        <v>0</v>
      </c>
      <c r="P398" s="191">
        <f>IF(AND(Daten!$AQ398&lt;=KINVARO!$AW$3,Daten!$AR398&gt;=KINVARO!$AW$3)=TRUE,1,0)</f>
        <v>1</v>
      </c>
      <c r="Q398" s="192">
        <f>IF(AND(Daten!$AA398&lt;=KINVARO!$AW$4,Daten!$AB398&gt;=KINVARO!$AW$4)=TRUE,1,0)</f>
        <v>0</v>
      </c>
      <c r="R398" s="192"/>
      <c r="S398" s="192">
        <f>IF(AND(Daten!$AD398&lt;=Limits!$I$70,Daten!$AE398&gt;=Limits!$I$70)=TRUE,1,0)</f>
        <v>0</v>
      </c>
      <c r="T398" s="193">
        <f ca="1">IF(Daten!$Y398=Sprache!$A$135,1,0)</f>
        <v>0</v>
      </c>
      <c r="U398" s="124" t="str">
        <f ca="1">Sprache!$A$67</f>
        <v>T-70 Поворотный подъемник</v>
      </c>
      <c r="V398" s="194">
        <v>14</v>
      </c>
      <c r="W398" s="193">
        <v>14</v>
      </c>
      <c r="X398" s="187" t="str">
        <f ca="1">Sprache!$A$141</f>
        <v>Alu</v>
      </c>
      <c r="Y398" s="187" t="str">
        <f ca="1">Sprache!$A$136</f>
        <v>nein</v>
      </c>
      <c r="Z398" s="187" t="str">
        <f ca="1">Sprache!$A$79</f>
        <v>Створка</v>
      </c>
      <c r="AA398" s="187">
        <v>400</v>
      </c>
      <c r="AB398" s="124">
        <v>449</v>
      </c>
      <c r="AC398" s="187"/>
      <c r="AD398" s="195">
        <v>1.7</v>
      </c>
      <c r="AE398" s="196">
        <v>5.4</v>
      </c>
      <c r="AF398" s="263" t="str">
        <f>MID(Tabelle2[[#This Row],[bnr full]],1,4)</f>
        <v>F151</v>
      </c>
      <c r="AG398" s="264" t="str">
        <f>MID(Tabelle2[[#This Row],[bnr full]],5,3)</f>
        <v>147</v>
      </c>
      <c r="AH398" s="265" t="str">
        <f>MID(Tabelle2[[#This Row],[bnr full]],8,3)</f>
        <v>689</v>
      </c>
      <c r="AI398" s="264" t="str">
        <f>MID(Tabelle2[[#This Row],[bnr full]],11,3)</f>
        <v>201</v>
      </c>
      <c r="AJ398" s="252" t="str">
        <f>MID(Tabelle2[[#This Row],[bnr full]],11,3)</f>
        <v>201</v>
      </c>
      <c r="AK398" s="197" t="s">
        <v>801</v>
      </c>
      <c r="AL398" s="124" t="str">
        <f ca="1">Sprache!$A$111</f>
        <v>Комплект (Л + П)</v>
      </c>
      <c r="AM398" s="187" t="s">
        <v>25</v>
      </c>
      <c r="AN398" s="187" t="str">
        <f ca="1">Sprache!$A$127</f>
        <v>Пружина, белая</v>
      </c>
      <c r="AO398" s="187" t="s">
        <v>25</v>
      </c>
      <c r="AP398" s="187" t="s">
        <v>25</v>
      </c>
      <c r="AQ398" s="187">
        <f>Limits!$K$9</f>
        <v>200</v>
      </c>
      <c r="AR398" s="124">
        <v>1200</v>
      </c>
      <c r="AS398" s="187"/>
      <c r="AT398" s="124"/>
      <c r="AU398"/>
      <c r="AV398"/>
      <c r="AY398"/>
      <c r="AZ398"/>
      <c r="BA398"/>
      <c r="BB398"/>
      <c r="BC398"/>
    </row>
    <row r="399" spans="1:55" s="5" customFormat="1" hidden="1" x14ac:dyDescent="0.25">
      <c r="A399" s="12" t="str">
        <f ca="1">IF(F399+G399+H399+I399+J399+D399+E399=3,IF(Tabelle2[[#This Row],[Kappe Weiß]]=Limits!$R$29,1,""),"")</f>
        <v/>
      </c>
      <c r="B399" s="12" t="str">
        <f ca="1">IF(G399+H399+I399+J399+E399+F399=2,IF(Tabelle2[[#This Row],[Kappe Weiß]]=Limits!$R$29,1,""),"")</f>
        <v/>
      </c>
      <c r="C399" s="291">
        <v>0</v>
      </c>
      <c r="D399" s="171">
        <f>IF(Limits!$P$7=TRUE,1,0)</f>
        <v>0</v>
      </c>
      <c r="E399" s="172">
        <f>IF(Daten!$P399+Daten!$Q399+Daten!$S399=3,1,0)</f>
        <v>0</v>
      </c>
      <c r="F399" s="173">
        <f ca="1">IF(AND(Limits!$Q$21=TRUE,Daten!O399=1)=TRUE,1,0)</f>
        <v>0</v>
      </c>
      <c r="G399" s="174">
        <f>IF(AND(Limits!$Q$25=TRUE,Daten!N399=1)=TRUE,1,0)</f>
        <v>0</v>
      </c>
      <c r="H399" s="174">
        <f>IF(AND(Limits!$Q$24=TRUE,Daten!M399=1)=TRUE,1,0)</f>
        <v>0</v>
      </c>
      <c r="I399" s="174">
        <f>IF(AND(Limits!$Q$23=TRUE,Daten!L399=1)=TRUE,1,0)</f>
        <v>0</v>
      </c>
      <c r="J399" s="174">
        <f>IF(AND(Limits!$Q$22=TRUE,Daten!K399=1)=TRUE,1,0)</f>
        <v>0</v>
      </c>
      <c r="K399" s="188">
        <f>IF(Daten!$V399=13,1,0)</f>
        <v>0</v>
      </c>
      <c r="L399" s="189">
        <f>IF(Daten!$V399&lt;&gt;Daten!$W399,1,IF(Daten!$V399=14,1,0))</f>
        <v>1</v>
      </c>
      <c r="M399" s="189">
        <f>IF(Daten!$V399&lt;&gt;Daten!$W399,1,IF(Daten!$V399=16,1,0))</f>
        <v>0</v>
      </c>
      <c r="N399" s="189">
        <f>IF(Daten!$W399=17,1,0)</f>
        <v>0</v>
      </c>
      <c r="O399" s="190">
        <f ca="1">IF(Daten!$X399=Sprache!$A$70,1,0)</f>
        <v>0</v>
      </c>
      <c r="P399" s="191">
        <f>IF(AND(Daten!$AQ399&lt;=KINVARO!$AW$3,Daten!$AR399&gt;=KINVARO!$AW$3)=TRUE,1,0)</f>
        <v>1</v>
      </c>
      <c r="Q399" s="192">
        <f>IF(AND(Daten!$AA399&lt;=KINVARO!$AW$4,Daten!$AB399&gt;=KINVARO!$AW$4)=TRUE,1,0)</f>
        <v>0</v>
      </c>
      <c r="R399" s="192"/>
      <c r="S399" s="192">
        <f>IF(AND(Daten!$AD399&lt;=Limits!$I$70,Daten!$AE399&gt;=Limits!$I$70)=TRUE,1,0)</f>
        <v>0</v>
      </c>
      <c r="T399" s="193">
        <f ca="1">IF(Daten!$Y399=Sprache!$A$135,1,0)</f>
        <v>0</v>
      </c>
      <c r="U399" s="124" t="str">
        <f ca="1">Sprache!$A$67</f>
        <v>T-70 Поворотный подъемник</v>
      </c>
      <c r="V399" s="194">
        <v>14</v>
      </c>
      <c r="W399" s="193">
        <v>14</v>
      </c>
      <c r="X399" s="187" t="str">
        <f ca="1">Sprache!$A$141</f>
        <v>Alu</v>
      </c>
      <c r="Y399" s="187" t="str">
        <f ca="1">Sprache!$A$136</f>
        <v>nein</v>
      </c>
      <c r="Z399" s="187" t="str">
        <f ca="1">Sprache!$A$79</f>
        <v>Створка</v>
      </c>
      <c r="AA399" s="187">
        <v>400</v>
      </c>
      <c r="AB399" s="124">
        <v>449</v>
      </c>
      <c r="AC399" s="187"/>
      <c r="AD399" s="195">
        <v>2.1</v>
      </c>
      <c r="AE399" s="196">
        <v>6.8</v>
      </c>
      <c r="AF399" s="263" t="str">
        <f>MID(Tabelle2[[#This Row],[bnr full]],1,4)</f>
        <v>F151</v>
      </c>
      <c r="AG399" s="264" t="str">
        <f>MID(Tabelle2[[#This Row],[bnr full]],5,3)</f>
        <v>147</v>
      </c>
      <c r="AH399" s="265" t="str">
        <f>MID(Tabelle2[[#This Row],[bnr full]],8,3)</f>
        <v>689</v>
      </c>
      <c r="AI399" s="264" t="str">
        <f>MID(Tabelle2[[#This Row],[bnr full]],11,3)</f>
        <v>201</v>
      </c>
      <c r="AJ399" s="252" t="str">
        <f>MID(Tabelle2[[#This Row],[bnr full]],11,3)</f>
        <v>201</v>
      </c>
      <c r="AK399" s="197" t="s">
        <v>801</v>
      </c>
      <c r="AL399" s="124" t="str">
        <f ca="1">Sprache!$A$111</f>
        <v>Комплект (Л + П)</v>
      </c>
      <c r="AM399" s="187" t="s">
        <v>25</v>
      </c>
      <c r="AN399" s="187" t="str">
        <f ca="1">Sprache!$A$128</f>
        <v>Пружина, оранжевая</v>
      </c>
      <c r="AO399" s="187" t="s">
        <v>25</v>
      </c>
      <c r="AP399" s="187" t="s">
        <v>25</v>
      </c>
      <c r="AQ399" s="187">
        <f>Limits!$K$9</f>
        <v>200</v>
      </c>
      <c r="AR399" s="124">
        <v>1200</v>
      </c>
      <c r="AS399" s="187"/>
      <c r="AT399" s="124"/>
    </row>
    <row r="400" spans="1:55" hidden="1" x14ac:dyDescent="0.25">
      <c r="A400" s="12" t="str">
        <f ca="1">IF(F400+G400+H400+I400+J400+D400+E400=3,IF(Tabelle2[[#This Row],[Kappe Weiß]]=Limits!$R$29,1,""),"")</f>
        <v/>
      </c>
      <c r="B400" s="12" t="str">
        <f ca="1">IF(G400+H400+I400+J400+E400+F400=2,IF(Tabelle2[[#This Row],[Kappe Weiß]]=Limits!$R$29,1,""),"")</f>
        <v/>
      </c>
      <c r="C400" s="291">
        <v>0</v>
      </c>
      <c r="D400" s="171">
        <f>IF(Limits!$P$7=TRUE,1,0)</f>
        <v>0</v>
      </c>
      <c r="E400" s="172">
        <f>IF(Daten!$P400+Daten!$Q400+Daten!$S400=3,1,0)</f>
        <v>0</v>
      </c>
      <c r="F400" s="173">
        <f ca="1">IF(AND(Limits!$Q$21=TRUE,Daten!O400=1)=TRUE,1,0)</f>
        <v>0</v>
      </c>
      <c r="G400" s="174">
        <f>IF(AND(Limits!$Q$25=TRUE,Daten!N400=1)=TRUE,1,0)</f>
        <v>0</v>
      </c>
      <c r="H400" s="174">
        <f>IF(AND(Limits!$Q$24=TRUE,Daten!M400=1)=TRUE,1,0)</f>
        <v>0</v>
      </c>
      <c r="I400" s="174">
        <f>IF(AND(Limits!$Q$23=TRUE,Daten!L400=1)=TRUE,1,0)</f>
        <v>0</v>
      </c>
      <c r="J400" s="174">
        <f>IF(AND(Limits!$Q$22=TRUE,Daten!K400=1)=TRUE,1,0)</f>
        <v>0</v>
      </c>
      <c r="K400" s="188">
        <f>IF(Daten!$V400=13,1,0)</f>
        <v>0</v>
      </c>
      <c r="L400" s="189">
        <f>IF(Daten!$V400&lt;&gt;Daten!$W400,1,IF(Daten!$V400=14,1,0))</f>
        <v>0</v>
      </c>
      <c r="M400" s="189">
        <f>IF(Daten!$V400&lt;&gt;Daten!$W400,1,IF(Daten!$V400=16,1,0))</f>
        <v>1</v>
      </c>
      <c r="N400" s="189">
        <f>IF(Daten!$W400=17,1,0)</f>
        <v>0</v>
      </c>
      <c r="O400" s="190">
        <f ca="1">IF(Daten!$X400=Sprache!$A$70,1,0)</f>
        <v>0</v>
      </c>
      <c r="P400" s="191">
        <f>IF(AND(Daten!$AQ400&lt;=KINVARO!$AW$3,Daten!$AR400&gt;=KINVARO!$AW$3)=TRUE,1,0)</f>
        <v>1</v>
      </c>
      <c r="Q400" s="192">
        <f>IF(AND(Daten!$AA400&lt;=KINVARO!$AW$4,Daten!$AB400&gt;=KINVARO!$AW$4)=TRUE,1,0)</f>
        <v>0</v>
      </c>
      <c r="R400" s="192"/>
      <c r="S400" s="192">
        <f>IF(AND(Daten!$AD400&lt;=Limits!$I$70,Daten!$AE400&gt;=Limits!$I$70)=TRUE,1,0)</f>
        <v>0</v>
      </c>
      <c r="T400" s="193">
        <f ca="1">IF(Daten!$Y400=Sprache!$A$135,1,0)</f>
        <v>0</v>
      </c>
      <c r="U400" s="124" t="str">
        <f ca="1">Sprache!$A$67</f>
        <v>T-70 Поворотный подъемник</v>
      </c>
      <c r="V400" s="194">
        <v>16</v>
      </c>
      <c r="W400" s="193">
        <v>16</v>
      </c>
      <c r="X400" s="187" t="str">
        <f ca="1">Sprache!$A$141</f>
        <v>Alu</v>
      </c>
      <c r="Y400" s="187" t="str">
        <f ca="1">Sprache!$A$136</f>
        <v>nein</v>
      </c>
      <c r="Z400" s="187" t="str">
        <f ca="1">Sprache!$A$79</f>
        <v>Створка</v>
      </c>
      <c r="AA400" s="187">
        <v>400</v>
      </c>
      <c r="AB400" s="124">
        <v>449</v>
      </c>
      <c r="AC400" s="187"/>
      <c r="AD400" s="195">
        <v>1.7</v>
      </c>
      <c r="AE400" s="196">
        <v>5.4</v>
      </c>
      <c r="AF400" s="263" t="str">
        <f>MID(Tabelle2[[#This Row],[bnr full]],1,4)</f>
        <v>F151</v>
      </c>
      <c r="AG400" s="264" t="str">
        <f>MID(Tabelle2[[#This Row],[bnr full]],5,3)</f>
        <v>147</v>
      </c>
      <c r="AH400" s="265" t="str">
        <f>MID(Tabelle2[[#This Row],[bnr full]],8,3)</f>
        <v>690</v>
      </c>
      <c r="AI400" s="264" t="str">
        <f>MID(Tabelle2[[#This Row],[bnr full]],11,3)</f>
        <v>201</v>
      </c>
      <c r="AJ400" s="252" t="str">
        <f>MID(Tabelle2[[#This Row],[bnr full]],11,3)</f>
        <v>201</v>
      </c>
      <c r="AK400" s="197" t="s">
        <v>802</v>
      </c>
      <c r="AL400" s="124" t="str">
        <f ca="1">Sprache!$A$111</f>
        <v>Комплект (Л + П)</v>
      </c>
      <c r="AM400" s="187" t="s">
        <v>25</v>
      </c>
      <c r="AN400" s="187" t="str">
        <f ca="1">Sprache!$A$127</f>
        <v>Пружина, белая</v>
      </c>
      <c r="AO400" s="187" t="s">
        <v>25</v>
      </c>
      <c r="AP400" s="187" t="s">
        <v>25</v>
      </c>
      <c r="AQ400" s="187">
        <f>Limits!$K$9</f>
        <v>200</v>
      </c>
      <c r="AR400" s="124">
        <v>1200</v>
      </c>
      <c r="AS400" s="187"/>
      <c r="AT400" s="124"/>
      <c r="AU400"/>
      <c r="AV400"/>
      <c r="AY400"/>
      <c r="AZ400"/>
      <c r="BA400"/>
      <c r="BB400"/>
      <c r="BC400"/>
    </row>
    <row r="401" spans="1:55" hidden="1" x14ac:dyDescent="0.25">
      <c r="A401" s="12" t="str">
        <f ca="1">IF(F401+G401+H401+I401+J401+D401+E401=3,IF(Tabelle2[[#This Row],[Kappe Weiß]]=Limits!$R$29,1,""),"")</f>
        <v/>
      </c>
      <c r="B401" s="12" t="str">
        <f ca="1">IF(G401+H401+I401+J401+E401+F401=2,IF(Tabelle2[[#This Row],[Kappe Weiß]]=Limits!$R$29,1,""),"")</f>
        <v/>
      </c>
      <c r="C401" s="291">
        <v>0</v>
      </c>
      <c r="D401" s="171">
        <f>IF(Limits!$P$7=TRUE,1,0)</f>
        <v>0</v>
      </c>
      <c r="E401" s="172">
        <f>IF(Daten!$P401+Daten!$Q401+Daten!$S401=3,1,0)</f>
        <v>0</v>
      </c>
      <c r="F401" s="173">
        <f ca="1">IF(AND(Limits!$Q$21=TRUE,Daten!O401=1)=TRUE,1,0)</f>
        <v>0</v>
      </c>
      <c r="G401" s="174">
        <f>IF(AND(Limits!$Q$25=TRUE,Daten!N401=1)=TRUE,1,0)</f>
        <v>0</v>
      </c>
      <c r="H401" s="174">
        <f>IF(AND(Limits!$Q$24=TRUE,Daten!M401=1)=TRUE,1,0)</f>
        <v>0</v>
      </c>
      <c r="I401" s="174">
        <f>IF(AND(Limits!$Q$23=TRUE,Daten!L401=1)=TRUE,1,0)</f>
        <v>0</v>
      </c>
      <c r="J401" s="174">
        <f>IF(AND(Limits!$Q$22=TRUE,Daten!K401=1)=TRUE,1,0)</f>
        <v>0</v>
      </c>
      <c r="K401" s="188">
        <f>IF(Daten!$V401=13,1,0)</f>
        <v>0</v>
      </c>
      <c r="L401" s="189">
        <f>IF(Daten!$V401&lt;&gt;Daten!$W401,1,IF(Daten!$V401=14,1,0))</f>
        <v>0</v>
      </c>
      <c r="M401" s="189">
        <f>IF(Daten!$V401&lt;&gt;Daten!$W401,1,IF(Daten!$V401=16,1,0))</f>
        <v>1</v>
      </c>
      <c r="N401" s="189">
        <f>IF(Daten!$W401=17,1,0)</f>
        <v>0</v>
      </c>
      <c r="O401" s="190">
        <f ca="1">IF(Daten!$X401=Sprache!$A$70,1,0)</f>
        <v>0</v>
      </c>
      <c r="P401" s="191">
        <f>IF(AND(Daten!$AQ401&lt;=KINVARO!$AW$3,Daten!$AR401&gt;=KINVARO!$AW$3)=TRUE,1,0)</f>
        <v>1</v>
      </c>
      <c r="Q401" s="192">
        <f>IF(AND(Daten!$AA401&lt;=KINVARO!$AW$4,Daten!$AB401&gt;=KINVARO!$AW$4)=TRUE,1,0)</f>
        <v>0</v>
      </c>
      <c r="R401" s="192"/>
      <c r="S401" s="192">
        <f>IF(AND(Daten!$AD401&lt;=Limits!$I$70,Daten!$AE401&gt;=Limits!$I$70)=TRUE,1,0)</f>
        <v>0</v>
      </c>
      <c r="T401" s="193">
        <f ca="1">IF(Daten!$Y401=Sprache!$A$135,1,0)</f>
        <v>0</v>
      </c>
      <c r="U401" s="124" t="str">
        <f ca="1">Sprache!$A$67</f>
        <v>T-70 Поворотный подъемник</v>
      </c>
      <c r="V401" s="194">
        <v>16</v>
      </c>
      <c r="W401" s="193">
        <v>16</v>
      </c>
      <c r="X401" s="187" t="str">
        <f ca="1">Sprache!$A$141</f>
        <v>Alu</v>
      </c>
      <c r="Y401" s="187" t="str">
        <f ca="1">Sprache!$A$136</f>
        <v>nein</v>
      </c>
      <c r="Z401" s="187" t="str">
        <f ca="1">Sprache!$A$79</f>
        <v>Створка</v>
      </c>
      <c r="AA401" s="187">
        <v>400</v>
      </c>
      <c r="AB401" s="124">
        <v>449</v>
      </c>
      <c r="AC401" s="187"/>
      <c r="AD401" s="195">
        <v>2.1</v>
      </c>
      <c r="AE401" s="196">
        <v>6.8</v>
      </c>
      <c r="AF401" s="263" t="str">
        <f>MID(Tabelle2[[#This Row],[bnr full]],1,4)</f>
        <v>F151</v>
      </c>
      <c r="AG401" s="264" t="str">
        <f>MID(Tabelle2[[#This Row],[bnr full]],5,3)</f>
        <v>147</v>
      </c>
      <c r="AH401" s="265" t="str">
        <f>MID(Tabelle2[[#This Row],[bnr full]],8,3)</f>
        <v>690</v>
      </c>
      <c r="AI401" s="264" t="str">
        <f>MID(Tabelle2[[#This Row],[bnr full]],11,3)</f>
        <v>201</v>
      </c>
      <c r="AJ401" s="252" t="str">
        <f>MID(Tabelle2[[#This Row],[bnr full]],11,3)</f>
        <v>201</v>
      </c>
      <c r="AK401" s="197" t="s">
        <v>802</v>
      </c>
      <c r="AL401" s="124" t="str">
        <f ca="1">Sprache!$A$111</f>
        <v>Комплект (Л + П)</v>
      </c>
      <c r="AM401" s="187" t="s">
        <v>25</v>
      </c>
      <c r="AN401" s="187" t="str">
        <f ca="1">Sprache!$A$128</f>
        <v>Пружина, оранжевая</v>
      </c>
      <c r="AO401" s="187" t="s">
        <v>25</v>
      </c>
      <c r="AP401" s="187" t="s">
        <v>25</v>
      </c>
      <c r="AQ401" s="187">
        <f>Limits!$K$9</f>
        <v>200</v>
      </c>
      <c r="AR401" s="124">
        <v>1200</v>
      </c>
      <c r="AS401" s="187"/>
      <c r="AT401" s="124"/>
      <c r="AU401"/>
      <c r="AV401"/>
      <c r="AY401"/>
      <c r="AZ401"/>
      <c r="BA401"/>
      <c r="BB401"/>
      <c r="BC401"/>
    </row>
    <row r="402" spans="1:55" hidden="1" x14ac:dyDescent="0.25">
      <c r="A402" s="12" t="str">
        <f ca="1">IF(F402+G402+H402+I402+J402+D402+E402=3,IF(Tabelle2[[#This Row],[Kappe Weiß]]=Limits!$R$29,1,""),"")</f>
        <v/>
      </c>
      <c r="B402" s="12" t="str">
        <f ca="1">IF(G402+H402+I402+J402+E402+F402=2,IF(Tabelle2[[#This Row],[Kappe Weiß]]=Limits!$R$29,1,""),"")</f>
        <v/>
      </c>
      <c r="C402" s="291">
        <v>0</v>
      </c>
      <c r="D402" s="171">
        <f>IF(Limits!$P$7=TRUE,1,0)</f>
        <v>0</v>
      </c>
      <c r="E402" s="172">
        <f>IF(Daten!$P402+Daten!$Q402+Daten!$S402=3,1,0)</f>
        <v>0</v>
      </c>
      <c r="F402" s="173">
        <f ca="1">IF(AND(Limits!$Q$21=TRUE,Daten!O402=1)=TRUE,1,0)</f>
        <v>0</v>
      </c>
      <c r="G402" s="174">
        <f>IF(AND(Limits!$Q$25=TRUE,Daten!N402=1)=TRUE,1,0)</f>
        <v>0</v>
      </c>
      <c r="H402" s="174">
        <f>IF(AND(Limits!$Q$24=TRUE,Daten!M402=1)=TRUE,1,0)</f>
        <v>0</v>
      </c>
      <c r="I402" s="174">
        <f>IF(AND(Limits!$Q$23=TRUE,Daten!L402=1)=TRUE,1,0)</f>
        <v>0</v>
      </c>
      <c r="J402" s="174">
        <f>IF(AND(Limits!$Q$22=TRUE,Daten!K402=1)=TRUE,1,0)</f>
        <v>0</v>
      </c>
      <c r="K402" s="188">
        <f>IF(Daten!$V402=13,1,0)</f>
        <v>0</v>
      </c>
      <c r="L402" s="189">
        <f>IF(Daten!$V402&lt;&gt;Daten!$W402,1,IF(Daten!$V402=14,1,0))</f>
        <v>0</v>
      </c>
      <c r="M402" s="189">
        <f>IF(Daten!$V402&lt;&gt;Daten!$W402,1,IF(Daten!$V402=16,1,0))</f>
        <v>0</v>
      </c>
      <c r="N402" s="189">
        <f>IF(Daten!$W402=17,1,0)</f>
        <v>1</v>
      </c>
      <c r="O402" s="190">
        <f ca="1">IF(Daten!$X402=Sprache!$A$70,1,0)</f>
        <v>0</v>
      </c>
      <c r="P402" s="191">
        <f>IF(AND(Daten!$AQ402&lt;=KINVARO!$AW$3,Daten!$AR402&gt;=KINVARO!$AW$3)=TRUE,1,0)</f>
        <v>1</v>
      </c>
      <c r="Q402" s="192">
        <f>IF(AND(Daten!$AA402&lt;=KINVARO!$AW$4,Daten!$AB402&gt;=KINVARO!$AW$4)=TRUE,1,0)</f>
        <v>0</v>
      </c>
      <c r="R402" s="192"/>
      <c r="S402" s="192">
        <f>IF(AND(Daten!$AD402&lt;=Limits!$I$70,Daten!$AE402&gt;=Limits!$I$70)=TRUE,1,0)</f>
        <v>0</v>
      </c>
      <c r="T402" s="193">
        <f ca="1">IF(Daten!$Y402=Sprache!$A$135,1,0)</f>
        <v>0</v>
      </c>
      <c r="U402" s="124" t="str">
        <f ca="1">Sprache!$A$67</f>
        <v>T-70 Поворотный подъемник</v>
      </c>
      <c r="V402" s="194">
        <v>17</v>
      </c>
      <c r="W402" s="193">
        <v>17</v>
      </c>
      <c r="X402" s="187" t="str">
        <f ca="1">Sprache!$A$141</f>
        <v>Alu</v>
      </c>
      <c r="Y402" s="187" t="str">
        <f ca="1">Sprache!$A$136</f>
        <v>nein</v>
      </c>
      <c r="Z402" s="187" t="str">
        <f ca="1">Sprache!$A$79</f>
        <v>Створка</v>
      </c>
      <c r="AA402" s="187">
        <v>400</v>
      </c>
      <c r="AB402" s="124">
        <v>449</v>
      </c>
      <c r="AC402" s="187"/>
      <c r="AD402" s="195">
        <v>1.7</v>
      </c>
      <c r="AE402" s="196">
        <v>5.4</v>
      </c>
      <c r="AF402" s="263" t="str">
        <f>MID(Tabelle2[[#This Row],[bnr full]],1,4)</f>
        <v>F151</v>
      </c>
      <c r="AG402" s="264" t="str">
        <f>MID(Tabelle2[[#This Row],[bnr full]],5,3)</f>
        <v>147</v>
      </c>
      <c r="AH402" s="265" t="str">
        <f>MID(Tabelle2[[#This Row],[bnr full]],8,3)</f>
        <v>691</v>
      </c>
      <c r="AI402" s="264" t="str">
        <f>MID(Tabelle2[[#This Row],[bnr full]],11,3)</f>
        <v>201</v>
      </c>
      <c r="AJ402" s="252" t="str">
        <f>MID(Tabelle2[[#This Row],[bnr full]],11,3)</f>
        <v>201</v>
      </c>
      <c r="AK402" s="197" t="s">
        <v>803</v>
      </c>
      <c r="AL402" s="124" t="str">
        <f ca="1">Sprache!$A$111</f>
        <v>Комплект (Л + П)</v>
      </c>
      <c r="AM402" s="187" t="s">
        <v>25</v>
      </c>
      <c r="AN402" s="187" t="str">
        <f ca="1">Sprache!$A$127</f>
        <v>Пружина, белая</v>
      </c>
      <c r="AO402" s="187" t="s">
        <v>25</v>
      </c>
      <c r="AP402" s="187" t="s">
        <v>25</v>
      </c>
      <c r="AQ402" s="187">
        <f>Limits!$K$9</f>
        <v>200</v>
      </c>
      <c r="AR402" s="124">
        <v>1200</v>
      </c>
      <c r="AS402" s="187"/>
      <c r="AT402" s="124"/>
      <c r="AU402"/>
      <c r="AV402"/>
      <c r="AY402"/>
      <c r="AZ402"/>
      <c r="BA402"/>
      <c r="BB402"/>
      <c r="BC402"/>
    </row>
    <row r="403" spans="1:55" hidden="1" x14ac:dyDescent="0.25">
      <c r="A403" s="12" t="str">
        <f ca="1">IF(F403+G403+H403+I403+J403+D403+E403=3,IF(Tabelle2[[#This Row],[Kappe Weiß]]=Limits!$R$29,1,""),"")</f>
        <v/>
      </c>
      <c r="B403" s="12" t="str">
        <f ca="1">IF(G403+H403+I403+J403+E403+F403=2,IF(Tabelle2[[#This Row],[Kappe Weiß]]=Limits!$R$29,1,""),"")</f>
        <v/>
      </c>
      <c r="C403" s="291">
        <v>0</v>
      </c>
      <c r="D403" s="171">
        <f>IF(Limits!$P$7=TRUE,1,0)</f>
        <v>0</v>
      </c>
      <c r="E403" s="172">
        <f>IF(Daten!$P403+Daten!$Q403+Daten!$S403=3,1,0)</f>
        <v>0</v>
      </c>
      <c r="F403" s="173">
        <f ca="1">IF(AND(Limits!$Q$21=TRUE,Daten!O403=1)=TRUE,1,0)</f>
        <v>0</v>
      </c>
      <c r="G403" s="174">
        <f>IF(AND(Limits!$Q$25=TRUE,Daten!N403=1)=TRUE,1,0)</f>
        <v>0</v>
      </c>
      <c r="H403" s="174">
        <f>IF(AND(Limits!$Q$24=TRUE,Daten!M403=1)=TRUE,1,0)</f>
        <v>0</v>
      </c>
      <c r="I403" s="174">
        <f>IF(AND(Limits!$Q$23=TRUE,Daten!L403=1)=TRUE,1,0)</f>
        <v>0</v>
      </c>
      <c r="J403" s="174">
        <f>IF(AND(Limits!$Q$22=TRUE,Daten!K403=1)=TRUE,1,0)</f>
        <v>0</v>
      </c>
      <c r="K403" s="188">
        <f>IF(Daten!$V403=13,1,0)</f>
        <v>0</v>
      </c>
      <c r="L403" s="189">
        <f>IF(Daten!$V403&lt;&gt;Daten!$W403,1,IF(Daten!$V403=14,1,0))</f>
        <v>0</v>
      </c>
      <c r="M403" s="189">
        <f>IF(Daten!$V403&lt;&gt;Daten!$W403,1,IF(Daten!$V403=16,1,0))</f>
        <v>0</v>
      </c>
      <c r="N403" s="189">
        <f>IF(Daten!$W403=17,1,0)</f>
        <v>1</v>
      </c>
      <c r="O403" s="190">
        <f ca="1">IF(Daten!$X403=Sprache!$A$70,1,0)</f>
        <v>0</v>
      </c>
      <c r="P403" s="191">
        <f>IF(AND(Daten!$AQ403&lt;=KINVARO!$AW$3,Daten!$AR403&gt;=KINVARO!$AW$3)=TRUE,1,0)</f>
        <v>1</v>
      </c>
      <c r="Q403" s="192">
        <f>IF(AND(Daten!$AA403&lt;=KINVARO!$AW$4,Daten!$AB403&gt;=KINVARO!$AW$4)=TRUE,1,0)</f>
        <v>0</v>
      </c>
      <c r="R403" s="192"/>
      <c r="S403" s="192">
        <f>IF(AND(Daten!$AD403&lt;=Limits!$I$70,Daten!$AE403&gt;=Limits!$I$70)=TRUE,1,0)</f>
        <v>0</v>
      </c>
      <c r="T403" s="193">
        <f ca="1">IF(Daten!$Y403=Sprache!$A$135,1,0)</f>
        <v>0</v>
      </c>
      <c r="U403" s="124" t="str">
        <f ca="1">Sprache!$A$67</f>
        <v>T-70 Поворотный подъемник</v>
      </c>
      <c r="V403" s="194">
        <v>17</v>
      </c>
      <c r="W403" s="193">
        <v>17</v>
      </c>
      <c r="X403" s="187" t="str">
        <f ca="1">Sprache!$A$141</f>
        <v>Alu</v>
      </c>
      <c r="Y403" s="187" t="str">
        <f ca="1">Sprache!$A$136</f>
        <v>nein</v>
      </c>
      <c r="Z403" s="187" t="str">
        <f ca="1">Sprache!$A$79</f>
        <v>Створка</v>
      </c>
      <c r="AA403" s="187">
        <v>400</v>
      </c>
      <c r="AB403" s="124">
        <v>449</v>
      </c>
      <c r="AC403" s="187"/>
      <c r="AD403" s="195">
        <v>2.1</v>
      </c>
      <c r="AE403" s="196">
        <v>6.8</v>
      </c>
      <c r="AF403" s="263" t="str">
        <f>MID(Tabelle2[[#This Row],[bnr full]],1,4)</f>
        <v>F151</v>
      </c>
      <c r="AG403" s="264" t="str">
        <f>MID(Tabelle2[[#This Row],[bnr full]],5,3)</f>
        <v>147</v>
      </c>
      <c r="AH403" s="265" t="str">
        <f>MID(Tabelle2[[#This Row],[bnr full]],8,3)</f>
        <v>691</v>
      </c>
      <c r="AI403" s="264" t="str">
        <f>MID(Tabelle2[[#This Row],[bnr full]],11,3)</f>
        <v>201</v>
      </c>
      <c r="AJ403" s="252" t="str">
        <f>MID(Tabelle2[[#This Row],[bnr full]],11,3)</f>
        <v>201</v>
      </c>
      <c r="AK403" s="197" t="s">
        <v>803</v>
      </c>
      <c r="AL403" s="124" t="str">
        <f ca="1">Sprache!$A$111</f>
        <v>Комплект (Л + П)</v>
      </c>
      <c r="AM403" s="187" t="s">
        <v>25</v>
      </c>
      <c r="AN403" s="187" t="str">
        <f ca="1">Sprache!$A$128</f>
        <v>Пружина, оранжевая</v>
      </c>
      <c r="AO403" s="187" t="s">
        <v>25</v>
      </c>
      <c r="AP403" s="187" t="s">
        <v>25</v>
      </c>
      <c r="AQ403" s="187">
        <f>Limits!$K$9</f>
        <v>200</v>
      </c>
      <c r="AR403" s="124">
        <v>1200</v>
      </c>
      <c r="AS403" s="187"/>
      <c r="AT403" s="124"/>
      <c r="AU403"/>
      <c r="AV403"/>
      <c r="AY403"/>
      <c r="AZ403"/>
      <c r="BA403"/>
      <c r="BB403"/>
      <c r="BC403"/>
    </row>
    <row r="404" spans="1:55" hidden="1" x14ac:dyDescent="0.25">
      <c r="A404" s="12" t="str">
        <f ca="1">IF(F404+G404+H404+I404+J404+D404+E404=3,IF(Tabelle2[[#This Row],[Kappe Weiß]]=Limits!$R$29,1,""),"")</f>
        <v/>
      </c>
      <c r="B404" s="12" t="str">
        <f ca="1">IF(G404+H404+I404+J404+E404+F404=2,IF(Tabelle2[[#This Row],[Kappe Weiß]]=Limits!$R$29,1,""),"")</f>
        <v/>
      </c>
      <c r="C404" s="292">
        <v>0</v>
      </c>
      <c r="D404" s="171">
        <f>IF(Limits!$P$7=TRUE,1,0)</f>
        <v>0</v>
      </c>
      <c r="E404" s="172">
        <f>IF(Daten!$P404+Daten!$Q404+Daten!$S404=3,1,0)</f>
        <v>0</v>
      </c>
      <c r="F404" s="173">
        <f ca="1">IF(AND(Limits!$Q$21=TRUE,Daten!O404=1)=TRUE,1,0)</f>
        <v>1</v>
      </c>
      <c r="G404" s="174">
        <f ca="1">IF(AND(Limits!$Q$25=TRUE,Daten!N404=1)=TRUE,1,0)</f>
        <v>0</v>
      </c>
      <c r="H404" s="174">
        <f ca="1">IF(AND(Limits!$Q$24=TRUE,Daten!M404=1)=TRUE,1,0)</f>
        <v>0</v>
      </c>
      <c r="I404" s="174">
        <f ca="1">IF(AND(Limits!$Q$23=TRUE,Daten!L404=1)=TRUE,1,0)</f>
        <v>0</v>
      </c>
      <c r="J404" s="174">
        <f ca="1">IF(AND(Limits!$Q$22=TRUE,Daten!K404=1)=TRUE,1,0)</f>
        <v>0</v>
      </c>
      <c r="K404" s="188">
        <f ca="1">IF(Daten!$V404=13,1,0)</f>
        <v>0</v>
      </c>
      <c r="L404" s="189">
        <f ca="1">IF(Daten!$V404&lt;&gt;Daten!$W404,1,IF(Daten!$V404=14,1,0))</f>
        <v>0</v>
      </c>
      <c r="M404" s="189">
        <f ca="1">IF(Daten!$V404&lt;&gt;Daten!$W404,1,IF(Daten!$V404=16,1,0))</f>
        <v>0</v>
      </c>
      <c r="N404" s="189">
        <f ca="1">IF(Daten!$W404=17,1,0)</f>
        <v>0</v>
      </c>
      <c r="O404" s="190">
        <f ca="1">IF(Daten!$X404=Sprache!$A$70,1,0)</f>
        <v>1</v>
      </c>
      <c r="P404" s="198">
        <f>IF(AND(Daten!$AQ404&lt;=KINVARO!$AW$3,Daten!$AR404&gt;=KINVARO!$AW$3)=TRUE,1,0)</f>
        <v>1</v>
      </c>
      <c r="Q404" s="199">
        <f>IF(AND(Daten!$AA404&lt;=KINVARO!$AW$4,Daten!$AB404&gt;=KINVARO!$AW$4)=TRUE,1,0)</f>
        <v>0</v>
      </c>
      <c r="R404" s="199"/>
      <c r="S404" s="199">
        <f>IF(AND(Daten!$AD404&lt;=Limits!$I$70,Daten!$AE404&gt;=Limits!$I$70)=TRUE,1,0)</f>
        <v>0</v>
      </c>
      <c r="T404" s="200">
        <f ca="1">IF(Daten!$Y404=Sprache!$A$135,1,0)</f>
        <v>0</v>
      </c>
      <c r="U404" s="201" t="str">
        <f ca="1">Sprache!$A$67</f>
        <v>T-70 Поворотный подъемник</v>
      </c>
      <c r="V404" s="202" t="str">
        <f ca="1">Sprache!$A$74</f>
        <v>var</v>
      </c>
      <c r="W404" s="200" t="str">
        <f ca="1">Sprache!$A$74</f>
        <v>var</v>
      </c>
      <c r="X404" s="203" t="str">
        <f ca="1">Sprache!$A$70</f>
        <v>соединение с древесиной</v>
      </c>
      <c r="Y404" s="187" t="str">
        <f ca="1">Sprache!$A$136</f>
        <v>nein</v>
      </c>
      <c r="Z404" s="203" t="str">
        <f ca="1">Sprache!$A$79</f>
        <v>Створка</v>
      </c>
      <c r="AA404" s="203">
        <v>450</v>
      </c>
      <c r="AB404" s="201">
        <v>499</v>
      </c>
      <c r="AC404" s="203"/>
      <c r="AD404" s="204">
        <v>1.6</v>
      </c>
      <c r="AE404" s="205">
        <v>4.7</v>
      </c>
      <c r="AF404" s="266" t="str">
        <f>MID(Tabelle2[[#This Row],[bnr full]],1,4)</f>
        <v>F151</v>
      </c>
      <c r="AG404" s="267" t="str">
        <f>MID(Tabelle2[[#This Row],[bnr full]],5,3)</f>
        <v>147</v>
      </c>
      <c r="AH404" s="268" t="str">
        <f>MID(Tabelle2[[#This Row],[bnr full]],8,3)</f>
        <v>692</v>
      </c>
      <c r="AI404" s="267" t="str">
        <f>MID(Tabelle2[[#This Row],[bnr full]],11,3)</f>
        <v>201</v>
      </c>
      <c r="AJ404" s="253" t="str">
        <f>MID(Tabelle2[[#This Row],[bnr full]],11,3)</f>
        <v>201</v>
      </c>
      <c r="AK404" s="206" t="s">
        <v>799</v>
      </c>
      <c r="AL404" s="201" t="str">
        <f ca="1">Sprache!$A$111</f>
        <v>Комплект (Л + П)</v>
      </c>
      <c r="AM404" s="203" t="s">
        <v>25</v>
      </c>
      <c r="AN404" s="203" t="str">
        <f ca="1">Sprache!$A$127</f>
        <v>Пружина, белая</v>
      </c>
      <c r="AO404" s="187" t="s">
        <v>25</v>
      </c>
      <c r="AP404" s="187" t="s">
        <v>25</v>
      </c>
      <c r="AQ404" s="203">
        <f>Limits!$K$9</f>
        <v>200</v>
      </c>
      <c r="AR404" s="201">
        <v>1200</v>
      </c>
      <c r="AS404" s="187"/>
      <c r="AT404" s="124"/>
      <c r="AU404"/>
      <c r="AV404"/>
      <c r="AY404"/>
      <c r="AZ404"/>
      <c r="BA404"/>
      <c r="BB404"/>
      <c r="BC404"/>
    </row>
    <row r="405" spans="1:55" s="8" customFormat="1" ht="15.75" hidden="1" thickBot="1" x14ac:dyDescent="0.3">
      <c r="A405" s="12" t="str">
        <f ca="1">IF(F405+G405+H405+I405+J405+D405+E405=3,IF(Tabelle2[[#This Row],[Kappe Weiß]]=Limits!$R$29,1,""),"")</f>
        <v/>
      </c>
      <c r="B405" s="12" t="str">
        <f ca="1">IF(G405+H405+I405+J405+E405+F405=2,IF(Tabelle2[[#This Row],[Kappe Weiß]]=Limits!$R$29,1,""),"")</f>
        <v/>
      </c>
      <c r="C405" s="291">
        <v>0</v>
      </c>
      <c r="D405" s="171">
        <f>IF(Limits!$P$7=TRUE,1,0)</f>
        <v>0</v>
      </c>
      <c r="E405" s="172">
        <f>IF(Daten!$P405+Daten!$Q405+Daten!$S405=3,1,0)</f>
        <v>0</v>
      </c>
      <c r="F405" s="173">
        <f ca="1">IF(AND(Limits!$Q$21=TRUE,Daten!O405=1)=TRUE,1,0)</f>
        <v>1</v>
      </c>
      <c r="G405" s="174">
        <f ca="1">IF(AND(Limits!$Q$25=TRUE,Daten!N405=1)=TRUE,1,0)</f>
        <v>0</v>
      </c>
      <c r="H405" s="174">
        <f ca="1">IF(AND(Limits!$Q$24=TRUE,Daten!M405=1)=TRUE,1,0)</f>
        <v>0</v>
      </c>
      <c r="I405" s="174">
        <f ca="1">IF(AND(Limits!$Q$23=TRUE,Daten!L405=1)=TRUE,1,0)</f>
        <v>0</v>
      </c>
      <c r="J405" s="174">
        <f ca="1">IF(AND(Limits!$Q$22=TRUE,Daten!K405=1)=TRUE,1,0)</f>
        <v>0</v>
      </c>
      <c r="K405" s="188">
        <f ca="1">IF(Daten!$V405=13,1,0)</f>
        <v>0</v>
      </c>
      <c r="L405" s="189">
        <f ca="1">IF(Daten!$V405&lt;&gt;Daten!$W405,1,IF(Daten!$V405=14,1,0))</f>
        <v>0</v>
      </c>
      <c r="M405" s="189">
        <f ca="1">IF(Daten!$V405&lt;&gt;Daten!$W405,1,IF(Daten!$V405=16,1,0))</f>
        <v>0</v>
      </c>
      <c r="N405" s="189">
        <f ca="1">IF(Daten!$W405=17,1,0)</f>
        <v>0</v>
      </c>
      <c r="O405" s="190">
        <f ca="1">IF(Daten!$X405=Sprache!$A$70,1,0)</f>
        <v>1</v>
      </c>
      <c r="P405" s="191">
        <f>IF(AND(Daten!$AQ405&lt;=KINVARO!$AW$3,Daten!$AR405&gt;=KINVARO!$AW$3)=TRUE,1,0)</f>
        <v>1</v>
      </c>
      <c r="Q405" s="192">
        <f>IF(AND(Daten!$AA405&lt;=KINVARO!$AW$4,Daten!$AB405&gt;=KINVARO!$AW$4)=TRUE,1,0)</f>
        <v>0</v>
      </c>
      <c r="R405" s="192"/>
      <c r="S405" s="192">
        <f>IF(AND(Daten!$AD405&lt;=Limits!$I$70,Daten!$AE405&gt;=Limits!$I$70)=TRUE,1,0)</f>
        <v>0</v>
      </c>
      <c r="T405" s="193">
        <f ca="1">IF(Daten!$Y405=Sprache!$A$135,1,0)</f>
        <v>0</v>
      </c>
      <c r="U405" s="124" t="str">
        <f ca="1">Sprache!$A$67</f>
        <v>T-70 Поворотный подъемник</v>
      </c>
      <c r="V405" s="194" t="str">
        <f ca="1">Sprache!$A$74</f>
        <v>var</v>
      </c>
      <c r="W405" s="193" t="str">
        <f ca="1">Sprache!$A$74</f>
        <v>var</v>
      </c>
      <c r="X405" s="187" t="str">
        <f ca="1">Sprache!$A$70</f>
        <v>соединение с древесиной</v>
      </c>
      <c r="Y405" s="187" t="str">
        <f ca="1">Sprache!$A$136</f>
        <v>nein</v>
      </c>
      <c r="Z405" s="187" t="str">
        <f ca="1">Sprache!$A$79</f>
        <v>Створка</v>
      </c>
      <c r="AA405" s="187">
        <v>450</v>
      </c>
      <c r="AB405" s="124">
        <v>499</v>
      </c>
      <c r="AC405" s="187"/>
      <c r="AD405" s="195">
        <v>2</v>
      </c>
      <c r="AE405" s="196">
        <v>5.8</v>
      </c>
      <c r="AF405" s="263" t="str">
        <f>MID(Tabelle2[[#This Row],[bnr full]],1,4)</f>
        <v>F151</v>
      </c>
      <c r="AG405" s="264" t="str">
        <f>MID(Tabelle2[[#This Row],[bnr full]],5,3)</f>
        <v>147</v>
      </c>
      <c r="AH405" s="265" t="str">
        <f>MID(Tabelle2[[#This Row],[bnr full]],8,3)</f>
        <v>692</v>
      </c>
      <c r="AI405" s="264" t="str">
        <f>MID(Tabelle2[[#This Row],[bnr full]],11,3)</f>
        <v>201</v>
      </c>
      <c r="AJ405" s="252" t="str">
        <f>MID(Tabelle2[[#This Row],[bnr full]],11,3)</f>
        <v>201</v>
      </c>
      <c r="AK405" s="197" t="s">
        <v>799</v>
      </c>
      <c r="AL405" s="124" t="str">
        <f ca="1">Sprache!$A$111</f>
        <v>Комплект (Л + П)</v>
      </c>
      <c r="AM405" s="187" t="s">
        <v>25</v>
      </c>
      <c r="AN405" s="187" t="str">
        <f ca="1">Sprache!$A$128</f>
        <v>Пружина, оранжевая</v>
      </c>
      <c r="AO405" s="187" t="s">
        <v>25</v>
      </c>
      <c r="AP405" s="187" t="s">
        <v>25</v>
      </c>
      <c r="AQ405" s="187">
        <f>Limits!$K$9</f>
        <v>200</v>
      </c>
      <c r="AR405" s="124">
        <v>1200</v>
      </c>
      <c r="AS405" s="187"/>
      <c r="AT405" s="124"/>
    </row>
    <row r="406" spans="1:55" hidden="1" x14ac:dyDescent="0.25">
      <c r="A406" s="12" t="str">
        <f ca="1">IF(F406+G406+H406+I406+J406+D406+E406=3,IF(Tabelle2[[#This Row],[Kappe Weiß]]=Limits!$R$29,1,""),"")</f>
        <v/>
      </c>
      <c r="B406" s="12" t="str">
        <f ca="1">IF(G406+H406+I406+J406+E406+F406=2,IF(Tabelle2[[#This Row],[Kappe Weiß]]=Limits!$R$29,1,""),"")</f>
        <v/>
      </c>
      <c r="C406" s="291">
        <v>0</v>
      </c>
      <c r="D406" s="171">
        <f>IF(Limits!$P$7=TRUE,1,0)</f>
        <v>0</v>
      </c>
      <c r="E406" s="172">
        <f>IF(Daten!$P406+Daten!$Q406+Daten!$S406=3,1,0)</f>
        <v>0</v>
      </c>
      <c r="F406" s="173">
        <f ca="1">IF(AND(Limits!$Q$21=TRUE,Daten!O406=1)=TRUE,1,0)</f>
        <v>0</v>
      </c>
      <c r="G406" s="174">
        <f>IF(AND(Limits!$Q$25=TRUE,Daten!N406=1)=TRUE,1,0)</f>
        <v>0</v>
      </c>
      <c r="H406" s="174">
        <f>IF(AND(Limits!$Q$24=TRUE,Daten!M406=1)=TRUE,1,0)</f>
        <v>0</v>
      </c>
      <c r="I406" s="174">
        <f>IF(AND(Limits!$Q$23=TRUE,Daten!L406=1)=TRUE,1,0)</f>
        <v>0</v>
      </c>
      <c r="J406" s="174">
        <f>IF(AND(Limits!$Q$22=TRUE,Daten!K406=1)=TRUE,1,0)</f>
        <v>0</v>
      </c>
      <c r="K406" s="188">
        <f>IF(Daten!$V406=13,1,0)</f>
        <v>1</v>
      </c>
      <c r="L406" s="189">
        <f>IF(Daten!$V406&lt;&gt;Daten!$W406,1,IF(Daten!$V406=14,1,0))</f>
        <v>0</v>
      </c>
      <c r="M406" s="189">
        <f>IF(Daten!$V406&lt;&gt;Daten!$W406,1,IF(Daten!$V406=16,1,0))</f>
        <v>0</v>
      </c>
      <c r="N406" s="189">
        <f>IF(Daten!$W406=17,1,0)</f>
        <v>0</v>
      </c>
      <c r="O406" s="190">
        <f ca="1">IF(Daten!$X406=Sprache!$A$70,1,0)</f>
        <v>0</v>
      </c>
      <c r="P406" s="191">
        <f>IF(AND(Daten!$AQ406&lt;=KINVARO!$AW$3,Daten!$AR406&gt;=KINVARO!$AW$3)=TRUE,1,0)</f>
        <v>1</v>
      </c>
      <c r="Q406" s="192">
        <f>IF(AND(Daten!$AA406&lt;=KINVARO!$AW$4,Daten!$AB406&gt;=KINVARO!$AW$4)=TRUE,1,0)</f>
        <v>0</v>
      </c>
      <c r="R406" s="192"/>
      <c r="S406" s="192">
        <f>IF(AND(Daten!$AD406&lt;=Limits!$I$70,Daten!$AE406&gt;=Limits!$I$70)=TRUE,1,0)</f>
        <v>0</v>
      </c>
      <c r="T406" s="193">
        <f ca="1">IF(Daten!$Y406=Sprache!$A$135,1,0)</f>
        <v>0</v>
      </c>
      <c r="U406" s="124" t="str">
        <f ca="1">Sprache!$A$67</f>
        <v>T-70 Поворотный подъемник</v>
      </c>
      <c r="V406" s="194">
        <v>13</v>
      </c>
      <c r="W406" s="193">
        <v>13</v>
      </c>
      <c r="X406" s="187" t="str">
        <f ca="1">Sprache!$A$141</f>
        <v>Alu</v>
      </c>
      <c r="Y406" s="187" t="str">
        <f ca="1">Sprache!$A$136</f>
        <v>nein</v>
      </c>
      <c r="Z406" s="187" t="str">
        <f ca="1">Sprache!$A$79</f>
        <v>Створка</v>
      </c>
      <c r="AA406" s="187">
        <v>450</v>
      </c>
      <c r="AB406" s="124">
        <v>499</v>
      </c>
      <c r="AC406" s="187"/>
      <c r="AD406" s="195">
        <v>1.6</v>
      </c>
      <c r="AE406" s="196">
        <v>4.7</v>
      </c>
      <c r="AF406" s="263" t="str">
        <f>MID(Tabelle2[[#This Row],[bnr full]],1,4)</f>
        <v>F151</v>
      </c>
      <c r="AG406" s="264" t="str">
        <f>MID(Tabelle2[[#This Row],[bnr full]],5,3)</f>
        <v>147</v>
      </c>
      <c r="AH406" s="265" t="str">
        <f>MID(Tabelle2[[#This Row],[bnr full]],8,3)</f>
        <v>688</v>
      </c>
      <c r="AI406" s="264" t="str">
        <f>MID(Tabelle2[[#This Row],[bnr full]],11,3)</f>
        <v>201</v>
      </c>
      <c r="AJ406" s="252" t="str">
        <f>MID(Tabelle2[[#This Row],[bnr full]],11,3)</f>
        <v>201</v>
      </c>
      <c r="AK406" s="197" t="s">
        <v>800</v>
      </c>
      <c r="AL406" s="124" t="str">
        <f ca="1">Sprache!$A$111</f>
        <v>Комплект (Л + П)</v>
      </c>
      <c r="AM406" s="187" t="s">
        <v>25</v>
      </c>
      <c r="AN406" s="187" t="str">
        <f ca="1">Sprache!$A$127</f>
        <v>Пружина, белая</v>
      </c>
      <c r="AO406" s="187" t="s">
        <v>25</v>
      </c>
      <c r="AP406" s="187" t="s">
        <v>25</v>
      </c>
      <c r="AQ406" s="187">
        <f>Limits!$K$9</f>
        <v>200</v>
      </c>
      <c r="AR406" s="124">
        <v>1200</v>
      </c>
      <c r="AS406" s="187"/>
      <c r="AT406" s="124"/>
      <c r="AV406"/>
      <c r="AX406" s="10"/>
      <c r="AY406" s="11"/>
      <c r="AZ406" s="2"/>
      <c r="BC406"/>
    </row>
    <row r="407" spans="1:55" hidden="1" x14ac:dyDescent="0.25">
      <c r="A407" s="12" t="str">
        <f ca="1">IF(F407+G407+H407+I407+J407+D407+E407=3,IF(Tabelle2[[#This Row],[Kappe Weiß]]=Limits!$R$29,1,""),"")</f>
        <v/>
      </c>
      <c r="B407" s="12" t="str">
        <f ca="1">IF(G407+H407+I407+J407+E407+F407=2,IF(Tabelle2[[#This Row],[Kappe Weiß]]=Limits!$R$29,1,""),"")</f>
        <v/>
      </c>
      <c r="C407" s="291">
        <v>0</v>
      </c>
      <c r="D407" s="171">
        <f>IF(Limits!$P$7=TRUE,1,0)</f>
        <v>0</v>
      </c>
      <c r="E407" s="172">
        <f>IF(Daten!$P407+Daten!$Q407+Daten!$S407=3,1,0)</f>
        <v>0</v>
      </c>
      <c r="F407" s="173">
        <f ca="1">IF(AND(Limits!$Q$21=TRUE,Daten!O407=1)=TRUE,1,0)</f>
        <v>0</v>
      </c>
      <c r="G407" s="174">
        <f>IF(AND(Limits!$Q$25=TRUE,Daten!N407=1)=TRUE,1,0)</f>
        <v>0</v>
      </c>
      <c r="H407" s="174">
        <f>IF(AND(Limits!$Q$24=TRUE,Daten!M407=1)=TRUE,1,0)</f>
        <v>0</v>
      </c>
      <c r="I407" s="174">
        <f>IF(AND(Limits!$Q$23=TRUE,Daten!L407=1)=TRUE,1,0)</f>
        <v>0</v>
      </c>
      <c r="J407" s="174">
        <f>IF(AND(Limits!$Q$22=TRUE,Daten!K407=1)=TRUE,1,0)</f>
        <v>0</v>
      </c>
      <c r="K407" s="188">
        <f>IF(Daten!$V407=13,1,0)</f>
        <v>1</v>
      </c>
      <c r="L407" s="189">
        <f>IF(Daten!$V407&lt;&gt;Daten!$W407,1,IF(Daten!$V407=14,1,0))</f>
        <v>0</v>
      </c>
      <c r="M407" s="189">
        <f>IF(Daten!$V407&lt;&gt;Daten!$W407,1,IF(Daten!$V407=16,1,0))</f>
        <v>0</v>
      </c>
      <c r="N407" s="189">
        <f>IF(Daten!$W407=17,1,0)</f>
        <v>0</v>
      </c>
      <c r="O407" s="190">
        <f ca="1">IF(Daten!$X407=Sprache!$A$70,1,0)</f>
        <v>0</v>
      </c>
      <c r="P407" s="191">
        <f>IF(AND(Daten!$AQ407&lt;=KINVARO!$AW$3,Daten!$AR407&gt;=KINVARO!$AW$3)=TRUE,1,0)</f>
        <v>1</v>
      </c>
      <c r="Q407" s="192">
        <f>IF(AND(Daten!$AA407&lt;=KINVARO!$AW$4,Daten!$AB407&gt;=KINVARO!$AW$4)=TRUE,1,0)</f>
        <v>0</v>
      </c>
      <c r="R407" s="192"/>
      <c r="S407" s="192">
        <f>IF(AND(Daten!$AD407&lt;=Limits!$I$70,Daten!$AE407&gt;=Limits!$I$70)=TRUE,1,0)</f>
        <v>0</v>
      </c>
      <c r="T407" s="193">
        <f ca="1">IF(Daten!$Y407=Sprache!$A$135,1,0)</f>
        <v>0</v>
      </c>
      <c r="U407" s="124" t="str">
        <f ca="1">Sprache!$A$67</f>
        <v>T-70 Поворотный подъемник</v>
      </c>
      <c r="V407" s="194">
        <v>13</v>
      </c>
      <c r="W407" s="193">
        <v>13</v>
      </c>
      <c r="X407" s="187" t="str">
        <f ca="1">Sprache!$A$141</f>
        <v>Alu</v>
      </c>
      <c r="Y407" s="187" t="str">
        <f ca="1">Sprache!$A$136</f>
        <v>nein</v>
      </c>
      <c r="Z407" s="187" t="str">
        <f ca="1">Sprache!$A$79</f>
        <v>Створка</v>
      </c>
      <c r="AA407" s="187">
        <v>450</v>
      </c>
      <c r="AB407" s="124">
        <v>499</v>
      </c>
      <c r="AC407" s="187"/>
      <c r="AD407" s="195">
        <v>2</v>
      </c>
      <c r="AE407" s="196">
        <v>5.8</v>
      </c>
      <c r="AF407" s="263" t="str">
        <f>MID(Tabelle2[[#This Row],[bnr full]],1,4)</f>
        <v>F151</v>
      </c>
      <c r="AG407" s="264" t="str">
        <f>MID(Tabelle2[[#This Row],[bnr full]],5,3)</f>
        <v>147</v>
      </c>
      <c r="AH407" s="265" t="str">
        <f>MID(Tabelle2[[#This Row],[bnr full]],8,3)</f>
        <v>688</v>
      </c>
      <c r="AI407" s="264" t="str">
        <f>MID(Tabelle2[[#This Row],[bnr full]],11,3)</f>
        <v>201</v>
      </c>
      <c r="AJ407" s="252" t="str">
        <f>MID(Tabelle2[[#This Row],[bnr full]],11,3)</f>
        <v>201</v>
      </c>
      <c r="AK407" s="197" t="s">
        <v>800</v>
      </c>
      <c r="AL407" s="124" t="str">
        <f ca="1">Sprache!$A$111</f>
        <v>Комплект (Л + П)</v>
      </c>
      <c r="AM407" s="187" t="s">
        <v>25</v>
      </c>
      <c r="AN407" s="187" t="str">
        <f ca="1">Sprache!$A$128</f>
        <v>Пружина, оранжевая</v>
      </c>
      <c r="AO407" s="187" t="s">
        <v>25</v>
      </c>
      <c r="AP407" s="187" t="s">
        <v>25</v>
      </c>
      <c r="AQ407" s="187">
        <f>Limits!$K$9</f>
        <v>200</v>
      </c>
      <c r="AR407" s="124">
        <v>1200</v>
      </c>
      <c r="AS407" s="187"/>
      <c r="AT407" s="124"/>
      <c r="AV407"/>
      <c r="AX407" s="10"/>
      <c r="AY407" s="11"/>
      <c r="AZ407" s="2"/>
      <c r="BC407"/>
    </row>
    <row r="408" spans="1:55" hidden="1" x14ac:dyDescent="0.25">
      <c r="A408" s="12" t="str">
        <f ca="1">IF(F408+G408+H408+I408+J408+D408+E408=3,IF(Tabelle2[[#This Row],[Kappe Weiß]]=Limits!$R$29,1,""),"")</f>
        <v/>
      </c>
      <c r="B408" s="12" t="str">
        <f ca="1">IF(G408+H408+I408+J408+E408+F408=2,IF(Tabelle2[[#This Row],[Kappe Weiß]]=Limits!$R$29,1,""),"")</f>
        <v/>
      </c>
      <c r="C408" s="291">
        <v>0</v>
      </c>
      <c r="D408" s="171">
        <f>IF(Limits!$P$7=TRUE,1,0)</f>
        <v>0</v>
      </c>
      <c r="E408" s="172">
        <f>IF(Daten!$P408+Daten!$Q408+Daten!$S408=3,1,0)</f>
        <v>0</v>
      </c>
      <c r="F408" s="173">
        <f ca="1">IF(AND(Limits!$Q$21=TRUE,Daten!O408=1)=TRUE,1,0)</f>
        <v>0</v>
      </c>
      <c r="G408" s="174">
        <f>IF(AND(Limits!$Q$25=TRUE,Daten!N408=1)=TRUE,1,0)</f>
        <v>0</v>
      </c>
      <c r="H408" s="174">
        <f>IF(AND(Limits!$Q$24=TRUE,Daten!M408=1)=TRUE,1,0)</f>
        <v>0</v>
      </c>
      <c r="I408" s="174">
        <f>IF(AND(Limits!$Q$23=TRUE,Daten!L408=1)=TRUE,1,0)</f>
        <v>0</v>
      </c>
      <c r="J408" s="174">
        <f>IF(AND(Limits!$Q$22=TRUE,Daten!K408=1)=TRUE,1,0)</f>
        <v>0</v>
      </c>
      <c r="K408" s="188">
        <f>IF(Daten!$V408=13,1,0)</f>
        <v>0</v>
      </c>
      <c r="L408" s="189">
        <f>IF(Daten!$V408&lt;&gt;Daten!$W408,1,IF(Daten!$V408=14,1,0))</f>
        <v>1</v>
      </c>
      <c r="M408" s="189">
        <f>IF(Daten!$V408&lt;&gt;Daten!$W408,1,IF(Daten!$V408=16,1,0))</f>
        <v>0</v>
      </c>
      <c r="N408" s="189">
        <f>IF(Daten!$W408=17,1,0)</f>
        <v>0</v>
      </c>
      <c r="O408" s="190">
        <f ca="1">IF(Daten!$X408=Sprache!$A$70,1,0)</f>
        <v>0</v>
      </c>
      <c r="P408" s="191">
        <f>IF(AND(Daten!$AQ408&lt;=KINVARO!$AW$3,Daten!$AR408&gt;=KINVARO!$AW$3)=TRUE,1,0)</f>
        <v>1</v>
      </c>
      <c r="Q408" s="192">
        <f>IF(AND(Daten!$AA408&lt;=KINVARO!$AW$4,Daten!$AB408&gt;=KINVARO!$AW$4)=TRUE,1,0)</f>
        <v>0</v>
      </c>
      <c r="R408" s="192"/>
      <c r="S408" s="192">
        <f>IF(AND(Daten!$AD408&lt;=Limits!$I$70,Daten!$AE408&gt;=Limits!$I$70)=TRUE,1,0)</f>
        <v>0</v>
      </c>
      <c r="T408" s="193">
        <f ca="1">IF(Daten!$Y408=Sprache!$A$135,1,0)</f>
        <v>0</v>
      </c>
      <c r="U408" s="124" t="str">
        <f ca="1">Sprache!$A$67</f>
        <v>T-70 Поворотный подъемник</v>
      </c>
      <c r="V408" s="194">
        <v>14</v>
      </c>
      <c r="W408" s="193">
        <v>14</v>
      </c>
      <c r="X408" s="187" t="str">
        <f ca="1">Sprache!$A$141</f>
        <v>Alu</v>
      </c>
      <c r="Y408" s="187" t="str">
        <f ca="1">Sprache!$A$136</f>
        <v>nein</v>
      </c>
      <c r="Z408" s="187" t="str">
        <f ca="1">Sprache!$A$79</f>
        <v>Створка</v>
      </c>
      <c r="AA408" s="187">
        <v>450</v>
      </c>
      <c r="AB408" s="124">
        <v>499</v>
      </c>
      <c r="AC408" s="187"/>
      <c r="AD408" s="195">
        <v>1.6</v>
      </c>
      <c r="AE408" s="196">
        <v>4.7</v>
      </c>
      <c r="AF408" s="263" t="str">
        <f>MID(Tabelle2[[#This Row],[bnr full]],1,4)</f>
        <v>F151</v>
      </c>
      <c r="AG408" s="264" t="str">
        <f>MID(Tabelle2[[#This Row],[bnr full]],5,3)</f>
        <v>147</v>
      </c>
      <c r="AH408" s="265" t="str">
        <f>MID(Tabelle2[[#This Row],[bnr full]],8,3)</f>
        <v>689</v>
      </c>
      <c r="AI408" s="264" t="str">
        <f>MID(Tabelle2[[#This Row],[bnr full]],11,3)</f>
        <v>201</v>
      </c>
      <c r="AJ408" s="252" t="str">
        <f>MID(Tabelle2[[#This Row],[bnr full]],11,3)</f>
        <v>201</v>
      </c>
      <c r="AK408" s="197" t="s">
        <v>801</v>
      </c>
      <c r="AL408" s="124" t="str">
        <f ca="1">Sprache!$A$111</f>
        <v>Комплект (Л + П)</v>
      </c>
      <c r="AM408" s="187" t="s">
        <v>25</v>
      </c>
      <c r="AN408" s="187" t="str">
        <f ca="1">Sprache!$A$127</f>
        <v>Пружина, белая</v>
      </c>
      <c r="AO408" s="187" t="s">
        <v>25</v>
      </c>
      <c r="AP408" s="187" t="s">
        <v>25</v>
      </c>
      <c r="AQ408" s="187">
        <f>Limits!$K$9</f>
        <v>200</v>
      </c>
      <c r="AR408" s="124">
        <v>1200</v>
      </c>
      <c r="AS408" s="187"/>
      <c r="AT408" s="124"/>
      <c r="AU408" s="14"/>
      <c r="AV408" s="4"/>
      <c r="AY408"/>
      <c r="AZ408"/>
      <c r="BA408"/>
      <c r="BB408"/>
      <c r="BC408"/>
    </row>
    <row r="409" spans="1:55" hidden="1" x14ac:dyDescent="0.25">
      <c r="A409" s="12" t="str">
        <f ca="1">IF(F409+G409+H409+I409+J409+D409+E409=3,IF(Tabelle2[[#This Row],[Kappe Weiß]]=Limits!$R$29,1,""),"")</f>
        <v/>
      </c>
      <c r="B409" s="12" t="str">
        <f ca="1">IF(G409+H409+I409+J409+E409+F409=2,IF(Tabelle2[[#This Row],[Kappe Weiß]]=Limits!$R$29,1,""),"")</f>
        <v/>
      </c>
      <c r="C409" s="291">
        <v>0</v>
      </c>
      <c r="D409" s="171">
        <f>IF(Limits!$P$7=TRUE,1,0)</f>
        <v>0</v>
      </c>
      <c r="E409" s="172">
        <f>IF(Daten!$P409+Daten!$Q409+Daten!$S409=3,1,0)</f>
        <v>0</v>
      </c>
      <c r="F409" s="173">
        <f ca="1">IF(AND(Limits!$Q$21=TRUE,Daten!O409=1)=TRUE,1,0)</f>
        <v>0</v>
      </c>
      <c r="G409" s="174">
        <f>IF(AND(Limits!$Q$25=TRUE,Daten!N409=1)=TRUE,1,0)</f>
        <v>0</v>
      </c>
      <c r="H409" s="174">
        <f>IF(AND(Limits!$Q$24=TRUE,Daten!M409=1)=TRUE,1,0)</f>
        <v>0</v>
      </c>
      <c r="I409" s="174">
        <f>IF(AND(Limits!$Q$23=TRUE,Daten!L409=1)=TRUE,1,0)</f>
        <v>0</v>
      </c>
      <c r="J409" s="174">
        <f>IF(AND(Limits!$Q$22=TRUE,Daten!K409=1)=TRUE,1,0)</f>
        <v>0</v>
      </c>
      <c r="K409" s="188">
        <f>IF(Daten!$V409=13,1,0)</f>
        <v>0</v>
      </c>
      <c r="L409" s="189">
        <f>IF(Daten!$V409&lt;&gt;Daten!$W409,1,IF(Daten!$V409=14,1,0))</f>
        <v>1</v>
      </c>
      <c r="M409" s="189">
        <f>IF(Daten!$V409&lt;&gt;Daten!$W409,1,IF(Daten!$V409=16,1,0))</f>
        <v>0</v>
      </c>
      <c r="N409" s="189">
        <f>IF(Daten!$W409=17,1,0)</f>
        <v>0</v>
      </c>
      <c r="O409" s="190">
        <f ca="1">IF(Daten!$X409=Sprache!$A$70,1,0)</f>
        <v>0</v>
      </c>
      <c r="P409" s="191">
        <f>IF(AND(Daten!$AQ409&lt;=KINVARO!$AW$3,Daten!$AR409&gt;=KINVARO!$AW$3)=TRUE,1,0)</f>
        <v>1</v>
      </c>
      <c r="Q409" s="192">
        <f>IF(AND(Daten!$AA409&lt;=KINVARO!$AW$4,Daten!$AB409&gt;=KINVARO!$AW$4)=TRUE,1,0)</f>
        <v>0</v>
      </c>
      <c r="R409" s="192"/>
      <c r="S409" s="192">
        <f>IF(AND(Daten!$AD409&lt;=Limits!$I$70,Daten!$AE409&gt;=Limits!$I$70)=TRUE,1,0)</f>
        <v>0</v>
      </c>
      <c r="T409" s="193">
        <f ca="1">IF(Daten!$Y409=Sprache!$A$135,1,0)</f>
        <v>0</v>
      </c>
      <c r="U409" s="124" t="str">
        <f ca="1">Sprache!$A$67</f>
        <v>T-70 Поворотный подъемник</v>
      </c>
      <c r="V409" s="194">
        <v>14</v>
      </c>
      <c r="W409" s="193">
        <v>14</v>
      </c>
      <c r="X409" s="187" t="str">
        <f ca="1">Sprache!$A$141</f>
        <v>Alu</v>
      </c>
      <c r="Y409" s="187" t="str">
        <f ca="1">Sprache!$A$136</f>
        <v>nein</v>
      </c>
      <c r="Z409" s="187" t="str">
        <f ca="1">Sprache!$A$79</f>
        <v>Створка</v>
      </c>
      <c r="AA409" s="187">
        <v>450</v>
      </c>
      <c r="AB409" s="124">
        <v>499</v>
      </c>
      <c r="AC409" s="187"/>
      <c r="AD409" s="195">
        <v>2</v>
      </c>
      <c r="AE409" s="196">
        <v>5.8</v>
      </c>
      <c r="AF409" s="263" t="str">
        <f>MID(Tabelle2[[#This Row],[bnr full]],1,4)</f>
        <v>F151</v>
      </c>
      <c r="AG409" s="264" t="str">
        <f>MID(Tabelle2[[#This Row],[bnr full]],5,3)</f>
        <v>147</v>
      </c>
      <c r="AH409" s="265" t="str">
        <f>MID(Tabelle2[[#This Row],[bnr full]],8,3)</f>
        <v>689</v>
      </c>
      <c r="AI409" s="264" t="str">
        <f>MID(Tabelle2[[#This Row],[bnr full]],11,3)</f>
        <v>201</v>
      </c>
      <c r="AJ409" s="252" t="str">
        <f>MID(Tabelle2[[#This Row],[bnr full]],11,3)</f>
        <v>201</v>
      </c>
      <c r="AK409" s="197" t="s">
        <v>801</v>
      </c>
      <c r="AL409" s="124" t="str">
        <f ca="1">Sprache!$A$111</f>
        <v>Комплект (Л + П)</v>
      </c>
      <c r="AM409" s="187" t="s">
        <v>25</v>
      </c>
      <c r="AN409" s="187" t="str">
        <f ca="1">Sprache!$A$128</f>
        <v>Пружина, оранжевая</v>
      </c>
      <c r="AO409" s="187" t="s">
        <v>25</v>
      </c>
      <c r="AP409" s="187" t="s">
        <v>25</v>
      </c>
      <c r="AQ409" s="187">
        <f>Limits!$K$9</f>
        <v>200</v>
      </c>
      <c r="AR409" s="124">
        <v>1200</v>
      </c>
      <c r="AS409" s="187"/>
      <c r="AT409" s="124"/>
      <c r="AV409"/>
      <c r="AX409" s="10"/>
      <c r="AY409" s="11"/>
      <c r="AZ409" s="2"/>
      <c r="BC409"/>
    </row>
    <row r="410" spans="1:55" hidden="1" x14ac:dyDescent="0.25">
      <c r="A410" s="12" t="str">
        <f ca="1">IF(F410+G410+H410+I410+J410+D410+E410=3,IF(Tabelle2[[#This Row],[Kappe Weiß]]=Limits!$R$29,1,""),"")</f>
        <v/>
      </c>
      <c r="B410" s="12" t="str">
        <f ca="1">IF(G410+H410+I410+J410+E410+F410=2,IF(Tabelle2[[#This Row],[Kappe Weiß]]=Limits!$R$29,1,""),"")</f>
        <v/>
      </c>
      <c r="C410" s="291">
        <v>0</v>
      </c>
      <c r="D410" s="171">
        <f>IF(Limits!$P$7=TRUE,1,0)</f>
        <v>0</v>
      </c>
      <c r="E410" s="172">
        <f>IF(Daten!$P410+Daten!$Q410+Daten!$S410=3,1,0)</f>
        <v>0</v>
      </c>
      <c r="F410" s="173">
        <f ca="1">IF(AND(Limits!$Q$21=TRUE,Daten!O410=1)=TRUE,1,0)</f>
        <v>0</v>
      </c>
      <c r="G410" s="174">
        <f>IF(AND(Limits!$Q$25=TRUE,Daten!N410=1)=TRUE,1,0)</f>
        <v>0</v>
      </c>
      <c r="H410" s="174">
        <f>IF(AND(Limits!$Q$24=TRUE,Daten!M410=1)=TRUE,1,0)</f>
        <v>0</v>
      </c>
      <c r="I410" s="174">
        <f>IF(AND(Limits!$Q$23=TRUE,Daten!L410=1)=TRUE,1,0)</f>
        <v>0</v>
      </c>
      <c r="J410" s="174">
        <f>IF(AND(Limits!$Q$22=TRUE,Daten!K410=1)=TRUE,1,0)</f>
        <v>0</v>
      </c>
      <c r="K410" s="188">
        <f>IF(Daten!$V410=13,1,0)</f>
        <v>0</v>
      </c>
      <c r="L410" s="189">
        <f>IF(Daten!$V410&lt;&gt;Daten!$W410,1,IF(Daten!$V410=14,1,0))</f>
        <v>0</v>
      </c>
      <c r="M410" s="189">
        <f>IF(Daten!$V410&lt;&gt;Daten!$W410,1,IF(Daten!$V410=16,1,0))</f>
        <v>1</v>
      </c>
      <c r="N410" s="189">
        <f>IF(Daten!$W410=17,1,0)</f>
        <v>0</v>
      </c>
      <c r="O410" s="190">
        <f ca="1">IF(Daten!$X410=Sprache!$A$70,1,0)</f>
        <v>0</v>
      </c>
      <c r="P410" s="191">
        <f>IF(AND(Daten!$AQ410&lt;=KINVARO!$AW$3,Daten!$AR410&gt;=KINVARO!$AW$3)=TRUE,1,0)</f>
        <v>1</v>
      </c>
      <c r="Q410" s="192">
        <f>IF(AND(Daten!$AA410&lt;=KINVARO!$AW$4,Daten!$AB410&gt;=KINVARO!$AW$4)=TRUE,1,0)</f>
        <v>0</v>
      </c>
      <c r="R410" s="192"/>
      <c r="S410" s="192">
        <f>IF(AND(Daten!$AD410&lt;=Limits!$I$70,Daten!$AE410&gt;=Limits!$I$70)=TRUE,1,0)</f>
        <v>0</v>
      </c>
      <c r="T410" s="193">
        <f ca="1">IF(Daten!$Y410=Sprache!$A$135,1,0)</f>
        <v>0</v>
      </c>
      <c r="U410" s="124" t="str">
        <f ca="1">Sprache!$A$67</f>
        <v>T-70 Поворотный подъемник</v>
      </c>
      <c r="V410" s="194">
        <v>16</v>
      </c>
      <c r="W410" s="193">
        <v>16</v>
      </c>
      <c r="X410" s="187" t="str">
        <f ca="1">Sprache!$A$141</f>
        <v>Alu</v>
      </c>
      <c r="Y410" s="187" t="str">
        <f ca="1">Sprache!$A$136</f>
        <v>nein</v>
      </c>
      <c r="Z410" s="187" t="str">
        <f ca="1">Sprache!$A$79</f>
        <v>Створка</v>
      </c>
      <c r="AA410" s="187">
        <v>450</v>
      </c>
      <c r="AB410" s="124">
        <v>499</v>
      </c>
      <c r="AC410" s="187"/>
      <c r="AD410" s="195">
        <v>1.6</v>
      </c>
      <c r="AE410" s="196">
        <v>4.7</v>
      </c>
      <c r="AF410" s="263" t="str">
        <f>MID(Tabelle2[[#This Row],[bnr full]],1,4)</f>
        <v>F151</v>
      </c>
      <c r="AG410" s="264" t="str">
        <f>MID(Tabelle2[[#This Row],[bnr full]],5,3)</f>
        <v>147</v>
      </c>
      <c r="AH410" s="265" t="str">
        <f>MID(Tabelle2[[#This Row],[bnr full]],8,3)</f>
        <v>690</v>
      </c>
      <c r="AI410" s="264" t="str">
        <f>MID(Tabelle2[[#This Row],[bnr full]],11,3)</f>
        <v>201</v>
      </c>
      <c r="AJ410" s="252" t="str">
        <f>MID(Tabelle2[[#This Row],[bnr full]],11,3)</f>
        <v>201</v>
      </c>
      <c r="AK410" s="197" t="s">
        <v>802</v>
      </c>
      <c r="AL410" s="124" t="str">
        <f ca="1">Sprache!$A$111</f>
        <v>Комплект (Л + П)</v>
      </c>
      <c r="AM410" s="187" t="s">
        <v>25</v>
      </c>
      <c r="AN410" s="187" t="str">
        <f ca="1">Sprache!$A$127</f>
        <v>Пружина, белая</v>
      </c>
      <c r="AO410" s="187" t="s">
        <v>25</v>
      </c>
      <c r="AP410" s="187" t="s">
        <v>25</v>
      </c>
      <c r="AQ410" s="187">
        <f>Limits!$K$9</f>
        <v>200</v>
      </c>
      <c r="AR410" s="124">
        <v>1200</v>
      </c>
      <c r="AS410" s="187"/>
      <c r="AT410" s="124"/>
      <c r="AV410"/>
      <c r="AX410" s="10"/>
      <c r="AY410" s="11"/>
      <c r="AZ410" s="2"/>
      <c r="BC410"/>
    </row>
    <row r="411" spans="1:55" hidden="1" x14ac:dyDescent="0.25">
      <c r="A411" s="12" t="str">
        <f ca="1">IF(F411+G411+H411+I411+J411+D411+E411=3,IF(Tabelle2[[#This Row],[Kappe Weiß]]=Limits!$R$29,1,""),"")</f>
        <v/>
      </c>
      <c r="B411" s="12" t="str">
        <f ca="1">IF(G411+H411+I411+J411+E411+F411=2,IF(Tabelle2[[#This Row],[Kappe Weiß]]=Limits!$R$29,1,""),"")</f>
        <v/>
      </c>
      <c r="C411" s="291">
        <v>0</v>
      </c>
      <c r="D411" s="171">
        <f>IF(Limits!$P$7=TRUE,1,0)</f>
        <v>0</v>
      </c>
      <c r="E411" s="172">
        <f>IF(Daten!$P411+Daten!$Q411+Daten!$S411=3,1,0)</f>
        <v>0</v>
      </c>
      <c r="F411" s="173">
        <f ca="1">IF(AND(Limits!$Q$21=TRUE,Daten!O411=1)=TRUE,1,0)</f>
        <v>0</v>
      </c>
      <c r="G411" s="174">
        <f>IF(AND(Limits!$Q$25=TRUE,Daten!N411=1)=TRUE,1,0)</f>
        <v>0</v>
      </c>
      <c r="H411" s="174">
        <f>IF(AND(Limits!$Q$24=TRUE,Daten!M411=1)=TRUE,1,0)</f>
        <v>0</v>
      </c>
      <c r="I411" s="174">
        <f>IF(AND(Limits!$Q$23=TRUE,Daten!L411=1)=TRUE,1,0)</f>
        <v>0</v>
      </c>
      <c r="J411" s="174">
        <f>IF(AND(Limits!$Q$22=TRUE,Daten!K411=1)=TRUE,1,0)</f>
        <v>0</v>
      </c>
      <c r="K411" s="188">
        <f>IF(Daten!$V411=13,1,0)</f>
        <v>0</v>
      </c>
      <c r="L411" s="189">
        <f>IF(Daten!$V411&lt;&gt;Daten!$W411,1,IF(Daten!$V411=14,1,0))</f>
        <v>0</v>
      </c>
      <c r="M411" s="189">
        <f>IF(Daten!$V411&lt;&gt;Daten!$W411,1,IF(Daten!$V411=16,1,0))</f>
        <v>1</v>
      </c>
      <c r="N411" s="189">
        <f>IF(Daten!$W411=17,1,0)</f>
        <v>0</v>
      </c>
      <c r="O411" s="190">
        <f ca="1">IF(Daten!$X411=Sprache!$A$70,1,0)</f>
        <v>0</v>
      </c>
      <c r="P411" s="191">
        <f>IF(AND(Daten!$AQ411&lt;=KINVARO!$AW$3,Daten!$AR411&gt;=KINVARO!$AW$3)=TRUE,1,0)</f>
        <v>1</v>
      </c>
      <c r="Q411" s="192">
        <f>IF(AND(Daten!$AA411&lt;=KINVARO!$AW$4,Daten!$AB411&gt;=KINVARO!$AW$4)=TRUE,1,0)</f>
        <v>0</v>
      </c>
      <c r="R411" s="192"/>
      <c r="S411" s="192">
        <f>IF(AND(Daten!$AD411&lt;=Limits!$I$70,Daten!$AE411&gt;=Limits!$I$70)=TRUE,1,0)</f>
        <v>0</v>
      </c>
      <c r="T411" s="193">
        <f ca="1">IF(Daten!$Y411=Sprache!$A$135,1,0)</f>
        <v>0</v>
      </c>
      <c r="U411" s="124" t="str">
        <f ca="1">Sprache!$A$67</f>
        <v>T-70 Поворотный подъемник</v>
      </c>
      <c r="V411" s="194">
        <v>16</v>
      </c>
      <c r="W411" s="193">
        <v>16</v>
      </c>
      <c r="X411" s="187" t="str">
        <f ca="1">Sprache!$A$141</f>
        <v>Alu</v>
      </c>
      <c r="Y411" s="187" t="str">
        <f ca="1">Sprache!$A$136</f>
        <v>nein</v>
      </c>
      <c r="Z411" s="187" t="str">
        <f ca="1">Sprache!$A$79</f>
        <v>Створка</v>
      </c>
      <c r="AA411" s="187">
        <v>450</v>
      </c>
      <c r="AB411" s="124">
        <v>499</v>
      </c>
      <c r="AC411" s="187"/>
      <c r="AD411" s="195">
        <v>2</v>
      </c>
      <c r="AE411" s="196">
        <v>5.8</v>
      </c>
      <c r="AF411" s="263" t="str">
        <f>MID(Tabelle2[[#This Row],[bnr full]],1,4)</f>
        <v>F151</v>
      </c>
      <c r="AG411" s="264" t="str">
        <f>MID(Tabelle2[[#This Row],[bnr full]],5,3)</f>
        <v>147</v>
      </c>
      <c r="AH411" s="265" t="str">
        <f>MID(Tabelle2[[#This Row],[bnr full]],8,3)</f>
        <v>690</v>
      </c>
      <c r="AI411" s="264" t="str">
        <f>MID(Tabelle2[[#This Row],[bnr full]],11,3)</f>
        <v>201</v>
      </c>
      <c r="AJ411" s="252" t="str">
        <f>MID(Tabelle2[[#This Row],[bnr full]],11,3)</f>
        <v>201</v>
      </c>
      <c r="AK411" s="197" t="s">
        <v>802</v>
      </c>
      <c r="AL411" s="124" t="str">
        <f ca="1">Sprache!$A$111</f>
        <v>Комплект (Л + П)</v>
      </c>
      <c r="AM411" s="187" t="s">
        <v>25</v>
      </c>
      <c r="AN411" s="187" t="str">
        <f ca="1">Sprache!$A$128</f>
        <v>Пружина, оранжевая</v>
      </c>
      <c r="AO411" s="187" t="s">
        <v>25</v>
      </c>
      <c r="AP411" s="187" t="s">
        <v>25</v>
      </c>
      <c r="AQ411" s="187">
        <f>Limits!$K$9</f>
        <v>200</v>
      </c>
      <c r="AR411" s="124">
        <v>1200</v>
      </c>
      <c r="AS411" s="187"/>
      <c r="AT411" s="124"/>
      <c r="AV411"/>
      <c r="AX411" s="10"/>
      <c r="AY411" s="11"/>
      <c r="AZ411" s="2"/>
      <c r="BC411"/>
    </row>
    <row r="412" spans="1:55" hidden="1" x14ac:dyDescent="0.25">
      <c r="A412" s="12" t="str">
        <f ca="1">IF(F412+G412+H412+I412+J412+D412+E412=3,IF(Tabelle2[[#This Row],[Kappe Weiß]]=Limits!$R$29,1,""),"")</f>
        <v/>
      </c>
      <c r="B412" s="12" t="str">
        <f ca="1">IF(G412+H412+I412+J412+E412+F412=2,IF(Tabelle2[[#This Row],[Kappe Weiß]]=Limits!$R$29,1,""),"")</f>
        <v/>
      </c>
      <c r="C412" s="291">
        <v>0</v>
      </c>
      <c r="D412" s="171">
        <f>IF(Limits!$P$7=TRUE,1,0)</f>
        <v>0</v>
      </c>
      <c r="E412" s="172">
        <f>IF(Daten!$P412+Daten!$Q412+Daten!$S412=3,1,0)</f>
        <v>0</v>
      </c>
      <c r="F412" s="173">
        <f ca="1">IF(AND(Limits!$Q$21=TRUE,Daten!O412=1)=TRUE,1,0)</f>
        <v>0</v>
      </c>
      <c r="G412" s="174">
        <f>IF(AND(Limits!$Q$25=TRUE,Daten!N412=1)=TRUE,1,0)</f>
        <v>0</v>
      </c>
      <c r="H412" s="174">
        <f>IF(AND(Limits!$Q$24=TRUE,Daten!M412=1)=TRUE,1,0)</f>
        <v>0</v>
      </c>
      <c r="I412" s="174">
        <f>IF(AND(Limits!$Q$23=TRUE,Daten!L412=1)=TRUE,1,0)</f>
        <v>0</v>
      </c>
      <c r="J412" s="174">
        <f>IF(AND(Limits!$Q$22=TRUE,Daten!K412=1)=TRUE,1,0)</f>
        <v>0</v>
      </c>
      <c r="K412" s="188">
        <f>IF(Daten!$V412=13,1,0)</f>
        <v>0</v>
      </c>
      <c r="L412" s="189">
        <f>IF(Daten!$V412&lt;&gt;Daten!$W412,1,IF(Daten!$V412=14,1,0))</f>
        <v>0</v>
      </c>
      <c r="M412" s="189">
        <f>IF(Daten!$V412&lt;&gt;Daten!$W412,1,IF(Daten!$V412=16,1,0))</f>
        <v>0</v>
      </c>
      <c r="N412" s="189">
        <f>IF(Daten!$W412=17,1,0)</f>
        <v>1</v>
      </c>
      <c r="O412" s="190">
        <f ca="1">IF(Daten!$X412=Sprache!$A$70,1,0)</f>
        <v>0</v>
      </c>
      <c r="P412" s="191">
        <f>IF(AND(Daten!$AQ412&lt;=KINVARO!$AW$3,Daten!$AR412&gt;=KINVARO!$AW$3)=TRUE,1,0)</f>
        <v>1</v>
      </c>
      <c r="Q412" s="192">
        <f>IF(AND(Daten!$AA412&lt;=KINVARO!$AW$4,Daten!$AB412&gt;=KINVARO!$AW$4)=TRUE,1,0)</f>
        <v>0</v>
      </c>
      <c r="R412" s="192"/>
      <c r="S412" s="192">
        <f>IF(AND(Daten!$AD412&lt;=Limits!$I$70,Daten!$AE412&gt;=Limits!$I$70)=TRUE,1,0)</f>
        <v>0</v>
      </c>
      <c r="T412" s="193">
        <f ca="1">IF(Daten!$Y412=Sprache!$A$135,1,0)</f>
        <v>0</v>
      </c>
      <c r="U412" s="124" t="str">
        <f ca="1">Sprache!$A$67</f>
        <v>T-70 Поворотный подъемник</v>
      </c>
      <c r="V412" s="194">
        <v>17</v>
      </c>
      <c r="W412" s="193">
        <v>17</v>
      </c>
      <c r="X412" s="187" t="str">
        <f ca="1">Sprache!$A$141</f>
        <v>Alu</v>
      </c>
      <c r="Y412" s="187" t="str">
        <f ca="1">Sprache!$A$136</f>
        <v>nein</v>
      </c>
      <c r="Z412" s="187" t="str">
        <f ca="1">Sprache!$A$79</f>
        <v>Створка</v>
      </c>
      <c r="AA412" s="187">
        <v>450</v>
      </c>
      <c r="AB412" s="124">
        <v>499</v>
      </c>
      <c r="AC412" s="187"/>
      <c r="AD412" s="195">
        <v>1.6</v>
      </c>
      <c r="AE412" s="196">
        <v>4.7</v>
      </c>
      <c r="AF412" s="263" t="str">
        <f>MID(Tabelle2[[#This Row],[bnr full]],1,4)</f>
        <v>F151</v>
      </c>
      <c r="AG412" s="264" t="str">
        <f>MID(Tabelle2[[#This Row],[bnr full]],5,3)</f>
        <v>147</v>
      </c>
      <c r="AH412" s="265" t="str">
        <f>MID(Tabelle2[[#This Row],[bnr full]],8,3)</f>
        <v>691</v>
      </c>
      <c r="AI412" s="264" t="str">
        <f>MID(Tabelle2[[#This Row],[bnr full]],11,3)</f>
        <v>201</v>
      </c>
      <c r="AJ412" s="252" t="str">
        <f>MID(Tabelle2[[#This Row],[bnr full]],11,3)</f>
        <v>201</v>
      </c>
      <c r="AK412" s="197" t="s">
        <v>803</v>
      </c>
      <c r="AL412" s="124" t="str">
        <f ca="1">Sprache!$A$111</f>
        <v>Комплект (Л + П)</v>
      </c>
      <c r="AM412" s="187" t="s">
        <v>25</v>
      </c>
      <c r="AN412" s="187" t="str">
        <f ca="1">Sprache!$A$127</f>
        <v>Пружина, белая</v>
      </c>
      <c r="AO412" s="187" t="s">
        <v>25</v>
      </c>
      <c r="AP412" s="187" t="s">
        <v>25</v>
      </c>
      <c r="AQ412" s="187">
        <f>Limits!$K$9</f>
        <v>200</v>
      </c>
      <c r="AR412" s="124">
        <v>1200</v>
      </c>
      <c r="AS412" s="187"/>
      <c r="AT412" s="124"/>
      <c r="AV412"/>
      <c r="AX412" s="10"/>
      <c r="AY412" s="11"/>
      <c r="AZ412" s="2"/>
      <c r="BC412"/>
    </row>
    <row r="413" spans="1:55" hidden="1" x14ac:dyDescent="0.25">
      <c r="A413" s="12" t="str">
        <f ca="1">IF(F413+G413+H413+I413+J413+D413+E413=3,IF(Tabelle2[[#This Row],[Kappe Weiß]]=Limits!$R$29,1,""),"")</f>
        <v/>
      </c>
      <c r="B413" s="12" t="str">
        <f ca="1">IF(G413+H413+I413+J413+E413+F413=2,IF(Tabelle2[[#This Row],[Kappe Weiß]]=Limits!$R$29,1,""),"")</f>
        <v/>
      </c>
      <c r="C413" s="291">
        <v>0</v>
      </c>
      <c r="D413" s="171">
        <f>IF(Limits!$P$7=TRUE,1,0)</f>
        <v>0</v>
      </c>
      <c r="E413" s="172">
        <f>IF(Daten!$P413+Daten!$Q413+Daten!$S413=3,1,0)</f>
        <v>0</v>
      </c>
      <c r="F413" s="173">
        <f ca="1">IF(AND(Limits!$Q$21=TRUE,Daten!O413=1)=TRUE,1,0)</f>
        <v>0</v>
      </c>
      <c r="G413" s="174">
        <f>IF(AND(Limits!$Q$25=TRUE,Daten!N413=1)=TRUE,1,0)</f>
        <v>0</v>
      </c>
      <c r="H413" s="174">
        <f>IF(AND(Limits!$Q$24=TRUE,Daten!M413=1)=TRUE,1,0)</f>
        <v>0</v>
      </c>
      <c r="I413" s="174">
        <f>IF(AND(Limits!$Q$23=TRUE,Daten!L413=1)=TRUE,1,0)</f>
        <v>0</v>
      </c>
      <c r="J413" s="174">
        <f>IF(AND(Limits!$Q$22=TRUE,Daten!K413=1)=TRUE,1,0)</f>
        <v>0</v>
      </c>
      <c r="K413" s="188">
        <f>IF(Daten!$V413=13,1,0)</f>
        <v>0</v>
      </c>
      <c r="L413" s="189">
        <f>IF(Daten!$V413&lt;&gt;Daten!$W413,1,IF(Daten!$V413=14,1,0))</f>
        <v>0</v>
      </c>
      <c r="M413" s="189">
        <f>IF(Daten!$V413&lt;&gt;Daten!$W413,1,IF(Daten!$V413=16,1,0))</f>
        <v>0</v>
      </c>
      <c r="N413" s="189">
        <f>IF(Daten!$W413=17,1,0)</f>
        <v>1</v>
      </c>
      <c r="O413" s="190">
        <f ca="1">IF(Daten!$X413=Sprache!$A$70,1,0)</f>
        <v>0</v>
      </c>
      <c r="P413" s="191">
        <f>IF(AND(Daten!$AQ413&lt;=KINVARO!$AW$3,Daten!$AR413&gt;=KINVARO!$AW$3)=TRUE,1,0)</f>
        <v>1</v>
      </c>
      <c r="Q413" s="192">
        <f>IF(AND(Daten!$AA413&lt;=KINVARO!$AW$4,Daten!$AB413&gt;=KINVARO!$AW$4)=TRUE,1,0)</f>
        <v>0</v>
      </c>
      <c r="R413" s="192"/>
      <c r="S413" s="192">
        <f>IF(AND(Daten!$AD413&lt;=Limits!$I$70,Daten!$AE413&gt;=Limits!$I$70)=TRUE,1,0)</f>
        <v>0</v>
      </c>
      <c r="T413" s="193">
        <f ca="1">IF(Daten!$Y413=Sprache!$A$135,1,0)</f>
        <v>0</v>
      </c>
      <c r="U413" s="124" t="str">
        <f ca="1">Sprache!$A$67</f>
        <v>T-70 Поворотный подъемник</v>
      </c>
      <c r="V413" s="194">
        <v>17</v>
      </c>
      <c r="W413" s="193">
        <v>17</v>
      </c>
      <c r="X413" s="187" t="str">
        <f ca="1">Sprache!$A$141</f>
        <v>Alu</v>
      </c>
      <c r="Y413" s="187" t="str">
        <f ca="1">Sprache!$A$136</f>
        <v>nein</v>
      </c>
      <c r="Z413" s="187" t="str">
        <f ca="1">Sprache!$A$79</f>
        <v>Створка</v>
      </c>
      <c r="AA413" s="187">
        <v>450</v>
      </c>
      <c r="AB413" s="124">
        <v>499</v>
      </c>
      <c r="AC413" s="187"/>
      <c r="AD413" s="195">
        <v>2</v>
      </c>
      <c r="AE413" s="196">
        <v>5.8</v>
      </c>
      <c r="AF413" s="263" t="str">
        <f>MID(Tabelle2[[#This Row],[bnr full]],1,4)</f>
        <v>F151</v>
      </c>
      <c r="AG413" s="264" t="str">
        <f>MID(Tabelle2[[#This Row],[bnr full]],5,3)</f>
        <v>147</v>
      </c>
      <c r="AH413" s="265" t="str">
        <f>MID(Tabelle2[[#This Row],[bnr full]],8,3)</f>
        <v>691</v>
      </c>
      <c r="AI413" s="264" t="str">
        <f>MID(Tabelle2[[#This Row],[bnr full]],11,3)</f>
        <v>201</v>
      </c>
      <c r="AJ413" s="252" t="str">
        <f>MID(Tabelle2[[#This Row],[bnr full]],11,3)</f>
        <v>201</v>
      </c>
      <c r="AK413" s="197" t="s">
        <v>803</v>
      </c>
      <c r="AL413" s="124" t="str">
        <f ca="1">Sprache!$A$111</f>
        <v>Комплект (Л + П)</v>
      </c>
      <c r="AM413" s="187" t="s">
        <v>25</v>
      </c>
      <c r="AN413" s="187" t="str">
        <f ca="1">Sprache!$A$128</f>
        <v>Пружина, оранжевая</v>
      </c>
      <c r="AO413" s="187" t="s">
        <v>25</v>
      </c>
      <c r="AP413" s="187" t="s">
        <v>25</v>
      </c>
      <c r="AQ413" s="187">
        <f>Limits!$K$9</f>
        <v>200</v>
      </c>
      <c r="AR413" s="124">
        <v>1200</v>
      </c>
      <c r="AS413" s="187"/>
      <c r="AT413" s="124"/>
      <c r="AV413"/>
      <c r="AX413" s="10"/>
      <c r="AY413" s="11"/>
      <c r="AZ413" s="2"/>
      <c r="BC413"/>
    </row>
    <row r="414" spans="1:55" hidden="1" x14ac:dyDescent="0.25">
      <c r="A414" s="12" t="str">
        <f ca="1">IF(F414+G414+H414+I414+J414+D414+E414=3,IF(Tabelle2[[#This Row],[Kappe Weiß]]=Limits!$R$29,1,""),"")</f>
        <v/>
      </c>
      <c r="B414" s="12" t="str">
        <f ca="1">IF(G414+H414+I414+J414+E414+F414=2,IF(Tabelle2[[#This Row],[Kappe Weiß]]=Limits!$R$29,1,""),"")</f>
        <v/>
      </c>
      <c r="C414" s="292">
        <v>0</v>
      </c>
      <c r="D414" s="171">
        <f>IF(Limits!$P$7=TRUE,1,0)</f>
        <v>0</v>
      </c>
      <c r="E414" s="172">
        <f>IF(Daten!$P414+Daten!$Q414+Daten!$S414=3,1,0)</f>
        <v>0</v>
      </c>
      <c r="F414" s="173">
        <f ca="1">IF(AND(Limits!$Q$21=TRUE,Daten!O414=1)=TRUE,1,0)</f>
        <v>1</v>
      </c>
      <c r="G414" s="174">
        <f ca="1">IF(AND(Limits!$Q$25=TRUE,Daten!N414=1)=TRUE,1,0)</f>
        <v>0</v>
      </c>
      <c r="H414" s="174">
        <f ca="1">IF(AND(Limits!$Q$24=TRUE,Daten!M414=1)=TRUE,1,0)</f>
        <v>0</v>
      </c>
      <c r="I414" s="174">
        <f ca="1">IF(AND(Limits!$Q$23=TRUE,Daten!L414=1)=TRUE,1,0)</f>
        <v>0</v>
      </c>
      <c r="J414" s="174">
        <f ca="1">IF(AND(Limits!$Q$22=TRUE,Daten!K414=1)=TRUE,1,0)</f>
        <v>0</v>
      </c>
      <c r="K414" s="188">
        <f ca="1">IF(Daten!$V414=13,1,0)</f>
        <v>0</v>
      </c>
      <c r="L414" s="189">
        <f ca="1">IF(Daten!$V414&lt;&gt;Daten!$W414,1,IF(Daten!$V414=14,1,0))</f>
        <v>0</v>
      </c>
      <c r="M414" s="189">
        <f ca="1">IF(Daten!$V414&lt;&gt;Daten!$W414,1,IF(Daten!$V414=16,1,0))</f>
        <v>0</v>
      </c>
      <c r="N414" s="189">
        <f ca="1">IF(Daten!$W414=17,1,0)</f>
        <v>0</v>
      </c>
      <c r="O414" s="190">
        <f ca="1">IF(Daten!$X414=Sprache!$A$70,1,0)</f>
        <v>1</v>
      </c>
      <c r="P414" s="198">
        <f>IF(AND(Daten!$AQ414&lt;=KINVARO!$AW$3,Daten!$AR414&gt;=KINVARO!$AW$3)=TRUE,1,0)</f>
        <v>1</v>
      </c>
      <c r="Q414" s="199">
        <f>IF(AND(Daten!$AA414&lt;=KINVARO!$AW$4,Daten!$AB414&gt;=KINVARO!$AW$4)=TRUE,1,0)</f>
        <v>0</v>
      </c>
      <c r="R414" s="199"/>
      <c r="S414" s="199">
        <f>IF(AND(Daten!$AD414&lt;=Limits!$I$70,Daten!$AE414&gt;=Limits!$I$70)=TRUE,1,0)</f>
        <v>0</v>
      </c>
      <c r="T414" s="200">
        <f ca="1">IF(Daten!$Y414=Sprache!$A$135,1,0)</f>
        <v>0</v>
      </c>
      <c r="U414" s="201" t="str">
        <f ca="1">Sprache!$A$67</f>
        <v>T-70 Поворотный подъемник</v>
      </c>
      <c r="V414" s="202" t="str">
        <f ca="1">Sprache!$A$74</f>
        <v>var</v>
      </c>
      <c r="W414" s="200" t="str">
        <f ca="1">Sprache!$A$74</f>
        <v>var</v>
      </c>
      <c r="X414" s="203" t="str">
        <f ca="1">Sprache!$A$70</f>
        <v>соединение с древесиной</v>
      </c>
      <c r="Y414" s="187" t="str">
        <f ca="1">Sprache!$A$136</f>
        <v>nein</v>
      </c>
      <c r="Z414" s="203" t="str">
        <f ca="1">Sprache!$A$79</f>
        <v>Створка</v>
      </c>
      <c r="AA414" s="203">
        <v>500</v>
      </c>
      <c r="AB414" s="201">
        <v>549</v>
      </c>
      <c r="AC414" s="203"/>
      <c r="AD414" s="204">
        <v>1.5</v>
      </c>
      <c r="AE414" s="205">
        <v>4</v>
      </c>
      <c r="AF414" s="266" t="str">
        <f>MID(Tabelle2[[#This Row],[bnr full]],1,4)</f>
        <v>F151</v>
      </c>
      <c r="AG414" s="267" t="str">
        <f>MID(Tabelle2[[#This Row],[bnr full]],5,3)</f>
        <v>147</v>
      </c>
      <c r="AH414" s="268" t="str">
        <f>MID(Tabelle2[[#This Row],[bnr full]],8,3)</f>
        <v>692</v>
      </c>
      <c r="AI414" s="267" t="str">
        <f>MID(Tabelle2[[#This Row],[bnr full]],11,3)</f>
        <v>201</v>
      </c>
      <c r="AJ414" s="253" t="str">
        <f>MID(Tabelle2[[#This Row],[bnr full]],11,3)</f>
        <v>201</v>
      </c>
      <c r="AK414" s="206" t="s">
        <v>799</v>
      </c>
      <c r="AL414" s="201" t="str">
        <f ca="1">Sprache!$A$111</f>
        <v>Комплект (Л + П)</v>
      </c>
      <c r="AM414" s="203" t="s">
        <v>25</v>
      </c>
      <c r="AN414" s="203" t="str">
        <f ca="1">Sprache!$A$127</f>
        <v>Пружина, белая</v>
      </c>
      <c r="AO414" s="187" t="s">
        <v>25</v>
      </c>
      <c r="AP414" s="187" t="s">
        <v>25</v>
      </c>
      <c r="AQ414" s="203">
        <f>Limits!$K$9</f>
        <v>200</v>
      </c>
      <c r="AR414" s="201">
        <v>1200</v>
      </c>
      <c r="AS414" s="187"/>
      <c r="AT414" s="124"/>
      <c r="AV414"/>
      <c r="AX414" s="10"/>
      <c r="AY414" s="11"/>
      <c r="AZ414" s="2"/>
      <c r="BC414"/>
    </row>
    <row r="415" spans="1:55" hidden="1" x14ac:dyDescent="0.25">
      <c r="A415" s="12" t="str">
        <f ca="1">IF(F415+G415+H415+I415+J415+D415+E415=3,IF(Tabelle2[[#This Row],[Kappe Weiß]]=Limits!$R$29,1,""),"")</f>
        <v/>
      </c>
      <c r="B415" s="12" t="str">
        <f ca="1">IF(G415+H415+I415+J415+E415+F415=2,IF(Tabelle2[[#This Row],[Kappe Weiß]]=Limits!$R$29,1,""),"")</f>
        <v/>
      </c>
      <c r="C415" s="291"/>
      <c r="D415" s="171">
        <f>IF(Limits!$P$7=TRUE,1,0)</f>
        <v>0</v>
      </c>
      <c r="E415" s="172">
        <f>IF(Daten!$P415+Daten!$Q415+Daten!$S415=3,1,0)</f>
        <v>0</v>
      </c>
      <c r="F415" s="173">
        <f ca="1">IF(AND(Limits!$Q$21=TRUE,Daten!O415=1)=TRUE,1,0)</f>
        <v>1</v>
      </c>
      <c r="G415" s="174">
        <f ca="1">IF(AND(Limits!$Q$25=TRUE,Daten!N415=1)=TRUE,1,0)</f>
        <v>0</v>
      </c>
      <c r="H415" s="174">
        <f ca="1">IF(AND(Limits!$Q$24=TRUE,Daten!M415=1)=TRUE,1,0)</f>
        <v>0</v>
      </c>
      <c r="I415" s="174">
        <f ca="1">IF(AND(Limits!$Q$23=TRUE,Daten!L415=1)=TRUE,1,0)</f>
        <v>0</v>
      </c>
      <c r="J415" s="174">
        <f ca="1">IF(AND(Limits!$Q$22=TRUE,Daten!K415=1)=TRUE,1,0)</f>
        <v>0</v>
      </c>
      <c r="K415" s="188">
        <f ca="1">IF(Daten!$V415=13,1,0)</f>
        <v>0</v>
      </c>
      <c r="L415" s="189">
        <f ca="1">IF(Daten!$V415&lt;&gt;Daten!$W415,1,IF(Daten!$V415=14,1,0))</f>
        <v>0</v>
      </c>
      <c r="M415" s="189">
        <f ca="1">IF(Daten!$V415&lt;&gt;Daten!$W415,1,IF(Daten!$V415=16,1,0))</f>
        <v>0</v>
      </c>
      <c r="N415" s="189">
        <f ca="1">IF(Daten!$W415=17,1,0)</f>
        <v>0</v>
      </c>
      <c r="O415" s="190">
        <f ca="1">IF(Daten!$X415=Sprache!$A$70,1,0)</f>
        <v>1</v>
      </c>
      <c r="P415" s="191">
        <f>IF(AND(Daten!$AQ415&lt;=KINVARO!$AW$3,Daten!$AR415&gt;=KINVARO!$AW$3)=TRUE,1,0)</f>
        <v>1</v>
      </c>
      <c r="Q415" s="192">
        <f>IF(AND(Daten!$AA415&lt;=KINVARO!$AW$4,Daten!$AB415&gt;=KINVARO!$AW$4)=TRUE,1,0)</f>
        <v>0</v>
      </c>
      <c r="R415" s="192"/>
      <c r="S415" s="192">
        <f>IF(AND(Daten!$AD415&lt;=Limits!$I$70,Daten!$AE415&gt;=Limits!$I$70)=TRUE,1,0)</f>
        <v>0</v>
      </c>
      <c r="T415" s="193">
        <f ca="1">IF(Daten!$Y415=Sprache!$A$135,1,0)</f>
        <v>0</v>
      </c>
      <c r="U415" s="124" t="str">
        <f ca="1">Sprache!$A$67</f>
        <v>T-70 Поворотный подъемник</v>
      </c>
      <c r="V415" s="194" t="str">
        <f ca="1">Sprache!$A$74</f>
        <v>var</v>
      </c>
      <c r="W415" s="193" t="str">
        <f ca="1">Sprache!$A$74</f>
        <v>var</v>
      </c>
      <c r="X415" s="187" t="str">
        <f ca="1">Sprache!$A$70</f>
        <v>соединение с древесиной</v>
      </c>
      <c r="Y415" s="187" t="str">
        <f ca="1">Sprache!$A$136</f>
        <v>nein</v>
      </c>
      <c r="Z415" s="187" t="str">
        <f ca="1">Sprache!$A$79</f>
        <v>Створка</v>
      </c>
      <c r="AA415" s="187">
        <v>500</v>
      </c>
      <c r="AB415" s="124">
        <v>549</v>
      </c>
      <c r="AC415" s="187"/>
      <c r="AD415" s="195">
        <v>1.8</v>
      </c>
      <c r="AE415" s="196">
        <v>5</v>
      </c>
      <c r="AF415" s="263" t="str">
        <f>MID(Tabelle2[[#This Row],[bnr full]],1,4)</f>
        <v>F151</v>
      </c>
      <c r="AG415" s="264" t="str">
        <f>MID(Tabelle2[[#This Row],[bnr full]],5,3)</f>
        <v>147</v>
      </c>
      <c r="AH415" s="265" t="str">
        <f>MID(Tabelle2[[#This Row],[bnr full]],8,3)</f>
        <v>692</v>
      </c>
      <c r="AI415" s="264" t="str">
        <f>MID(Tabelle2[[#This Row],[bnr full]],11,3)</f>
        <v>201</v>
      </c>
      <c r="AJ415" s="252" t="str">
        <f>MID(Tabelle2[[#This Row],[bnr full]],11,3)</f>
        <v>201</v>
      </c>
      <c r="AK415" s="197" t="s">
        <v>799</v>
      </c>
      <c r="AL415" s="124" t="str">
        <f ca="1">Sprache!$A$111</f>
        <v>Комплект (Л + П)</v>
      </c>
      <c r="AM415" s="187" t="s">
        <v>25</v>
      </c>
      <c r="AN415" s="187" t="str">
        <f ca="1">Sprache!$A$128</f>
        <v>Пружина, оранжевая</v>
      </c>
      <c r="AO415" s="187" t="s">
        <v>25</v>
      </c>
      <c r="AP415" s="187" t="s">
        <v>25</v>
      </c>
      <c r="AQ415" s="187">
        <f>Limits!$K$9</f>
        <v>200</v>
      </c>
      <c r="AR415" s="124">
        <v>1200</v>
      </c>
      <c r="AS415" s="187"/>
      <c r="AT415" s="124"/>
      <c r="AV415"/>
      <c r="AX415" s="10"/>
      <c r="AY415" s="11"/>
      <c r="AZ415" s="2"/>
      <c r="BC415"/>
    </row>
    <row r="416" spans="1:55" hidden="1" x14ac:dyDescent="0.25">
      <c r="A416" s="12" t="str">
        <f ca="1">IF(F416+G416+H416+I416+J416+D416+E416=3,IF(Tabelle2[[#This Row],[Kappe Weiß]]=Limits!$R$29,1,""),"")</f>
        <v/>
      </c>
      <c r="B416" s="12" t="str">
        <f ca="1">IF(G416+H416+I416+J416+E416+F416=2,IF(Tabelle2[[#This Row],[Kappe Weiß]]=Limits!$R$29,1,""),"")</f>
        <v/>
      </c>
      <c r="C416" s="291"/>
      <c r="D416" s="171">
        <f>IF(Limits!$P$7=TRUE,1,0)</f>
        <v>0</v>
      </c>
      <c r="E416" s="172">
        <f>IF(Daten!$P416+Daten!$Q416+Daten!$S416=3,1,0)</f>
        <v>0</v>
      </c>
      <c r="F416" s="173">
        <f ca="1">IF(AND(Limits!$Q$21=TRUE,Daten!O416=1)=TRUE,1,0)</f>
        <v>0</v>
      </c>
      <c r="G416" s="174">
        <f>IF(AND(Limits!$Q$25=TRUE,Daten!N416=1)=TRUE,1,0)</f>
        <v>0</v>
      </c>
      <c r="H416" s="174">
        <f>IF(AND(Limits!$Q$24=TRUE,Daten!M416=1)=TRUE,1,0)</f>
        <v>0</v>
      </c>
      <c r="I416" s="174">
        <f>IF(AND(Limits!$Q$23=TRUE,Daten!L416=1)=TRUE,1,0)</f>
        <v>0</v>
      </c>
      <c r="J416" s="174">
        <f>IF(AND(Limits!$Q$22=TRUE,Daten!K416=1)=TRUE,1,0)</f>
        <v>0</v>
      </c>
      <c r="K416" s="188">
        <f>IF(Daten!$V416=13,1,0)</f>
        <v>1</v>
      </c>
      <c r="L416" s="189">
        <f>IF(Daten!$V416&lt;&gt;Daten!$W416,1,IF(Daten!$V416=14,1,0))</f>
        <v>0</v>
      </c>
      <c r="M416" s="189">
        <f>IF(Daten!$V416&lt;&gt;Daten!$W416,1,IF(Daten!$V416=16,1,0))</f>
        <v>0</v>
      </c>
      <c r="N416" s="189">
        <f>IF(Daten!$W416=17,1,0)</f>
        <v>0</v>
      </c>
      <c r="O416" s="190">
        <f ca="1">IF(Daten!$X416=Sprache!$A$70,1,0)</f>
        <v>0</v>
      </c>
      <c r="P416" s="191">
        <f>IF(AND(Daten!$AQ416&lt;=KINVARO!$AW$3,Daten!$AR416&gt;=KINVARO!$AW$3)=TRUE,1,0)</f>
        <v>1</v>
      </c>
      <c r="Q416" s="192">
        <f>IF(AND(Daten!$AA416&lt;=KINVARO!$AW$4,Daten!$AB416&gt;=KINVARO!$AW$4)=TRUE,1,0)</f>
        <v>0</v>
      </c>
      <c r="R416" s="192"/>
      <c r="S416" s="192">
        <f>IF(AND(Daten!$AD416&lt;=Limits!$I$70,Daten!$AE416&gt;=Limits!$I$70)=TRUE,1,0)</f>
        <v>0</v>
      </c>
      <c r="T416" s="193">
        <f ca="1">IF(Daten!$Y416=Sprache!$A$135,1,0)</f>
        <v>0</v>
      </c>
      <c r="U416" s="124" t="str">
        <f ca="1">Sprache!$A$67</f>
        <v>T-70 Поворотный подъемник</v>
      </c>
      <c r="V416" s="194">
        <v>13</v>
      </c>
      <c r="W416" s="193">
        <v>13</v>
      </c>
      <c r="X416" s="187" t="str">
        <f ca="1">Sprache!$A$141</f>
        <v>Alu</v>
      </c>
      <c r="Y416" s="187" t="str">
        <f ca="1">Sprache!$A$136</f>
        <v>nein</v>
      </c>
      <c r="Z416" s="187" t="str">
        <f ca="1">Sprache!$A$79</f>
        <v>Створка</v>
      </c>
      <c r="AA416" s="187">
        <v>500</v>
      </c>
      <c r="AB416" s="124">
        <v>549</v>
      </c>
      <c r="AC416" s="187"/>
      <c r="AD416" s="195">
        <v>1.5</v>
      </c>
      <c r="AE416" s="196">
        <v>4</v>
      </c>
      <c r="AF416" s="263" t="str">
        <f>MID(Tabelle2[[#This Row],[bnr full]],1,4)</f>
        <v>F151</v>
      </c>
      <c r="AG416" s="264" t="str">
        <f>MID(Tabelle2[[#This Row],[bnr full]],5,3)</f>
        <v>147</v>
      </c>
      <c r="AH416" s="265" t="str">
        <f>MID(Tabelle2[[#This Row],[bnr full]],8,3)</f>
        <v>688</v>
      </c>
      <c r="AI416" s="264" t="str">
        <f>MID(Tabelle2[[#This Row],[bnr full]],11,3)</f>
        <v>201</v>
      </c>
      <c r="AJ416" s="252" t="str">
        <f>MID(Tabelle2[[#This Row],[bnr full]],11,3)</f>
        <v>201</v>
      </c>
      <c r="AK416" s="197" t="s">
        <v>800</v>
      </c>
      <c r="AL416" s="124" t="str">
        <f ca="1">Sprache!$A$111</f>
        <v>Комплект (Л + П)</v>
      </c>
      <c r="AM416" s="187" t="s">
        <v>25</v>
      </c>
      <c r="AN416" s="187" t="str">
        <f ca="1">Sprache!$A$127</f>
        <v>Пружина, белая</v>
      </c>
      <c r="AO416" s="187" t="s">
        <v>25</v>
      </c>
      <c r="AP416" s="187" t="s">
        <v>25</v>
      </c>
      <c r="AQ416" s="187">
        <f>Limits!$K$9</f>
        <v>200</v>
      </c>
      <c r="AR416" s="124">
        <v>1200</v>
      </c>
      <c r="AS416" s="187"/>
      <c r="AT416" s="124"/>
      <c r="AV416"/>
      <c r="AX416" s="10"/>
      <c r="AY416" s="11"/>
      <c r="AZ416" s="2"/>
      <c r="BC416"/>
    </row>
    <row r="417" spans="1:55" hidden="1" x14ac:dyDescent="0.25">
      <c r="A417" s="12" t="str">
        <f ca="1">IF(F417+G417+H417+I417+J417+D417+E417=3,IF(Tabelle2[[#This Row],[Kappe Weiß]]=Limits!$R$29,1,""),"")</f>
        <v/>
      </c>
      <c r="B417" s="12" t="str">
        <f ca="1">IF(G417+H417+I417+J417+E417+F417=2,IF(Tabelle2[[#This Row],[Kappe Weiß]]=Limits!$R$29,1,""),"")</f>
        <v/>
      </c>
      <c r="C417" s="291"/>
      <c r="D417" s="171">
        <f>IF(Limits!$P$7=TRUE,1,0)</f>
        <v>0</v>
      </c>
      <c r="E417" s="172">
        <f>IF(Daten!$P417+Daten!$Q417+Daten!$S417=3,1,0)</f>
        <v>0</v>
      </c>
      <c r="F417" s="173">
        <f ca="1">IF(AND(Limits!$Q$21=TRUE,Daten!O417=1)=TRUE,1,0)</f>
        <v>0</v>
      </c>
      <c r="G417" s="174">
        <f>IF(AND(Limits!$Q$25=TRUE,Daten!N417=1)=TRUE,1,0)</f>
        <v>0</v>
      </c>
      <c r="H417" s="174">
        <f>IF(AND(Limits!$Q$24=TRUE,Daten!M417=1)=TRUE,1,0)</f>
        <v>0</v>
      </c>
      <c r="I417" s="174">
        <f>IF(AND(Limits!$Q$23=TRUE,Daten!L417=1)=TRUE,1,0)</f>
        <v>0</v>
      </c>
      <c r="J417" s="174">
        <f>IF(AND(Limits!$Q$22=TRUE,Daten!K417=1)=TRUE,1,0)</f>
        <v>0</v>
      </c>
      <c r="K417" s="188">
        <f>IF(Daten!$V417=13,1,0)</f>
        <v>1</v>
      </c>
      <c r="L417" s="189">
        <f>IF(Daten!$V417&lt;&gt;Daten!$W417,1,IF(Daten!$V417=14,1,0))</f>
        <v>0</v>
      </c>
      <c r="M417" s="189">
        <f>IF(Daten!$V417&lt;&gt;Daten!$W417,1,IF(Daten!$V417=16,1,0))</f>
        <v>0</v>
      </c>
      <c r="N417" s="189">
        <f>IF(Daten!$W417=17,1,0)</f>
        <v>0</v>
      </c>
      <c r="O417" s="190">
        <f ca="1">IF(Daten!$X417=Sprache!$A$70,1,0)</f>
        <v>0</v>
      </c>
      <c r="P417" s="191">
        <f>IF(AND(Daten!$AQ417&lt;=KINVARO!$AW$3,Daten!$AR417&gt;=KINVARO!$AW$3)=TRUE,1,0)</f>
        <v>1</v>
      </c>
      <c r="Q417" s="192">
        <f>IF(AND(Daten!$AA417&lt;=KINVARO!$AW$4,Daten!$AB417&gt;=KINVARO!$AW$4)=TRUE,1,0)</f>
        <v>0</v>
      </c>
      <c r="R417" s="192"/>
      <c r="S417" s="192">
        <f>IF(AND(Daten!$AD417&lt;=Limits!$I$70,Daten!$AE417&gt;=Limits!$I$70)=TRUE,1,0)</f>
        <v>0</v>
      </c>
      <c r="T417" s="193">
        <f ca="1">IF(Daten!$Y417=Sprache!$A$135,1,0)</f>
        <v>0</v>
      </c>
      <c r="U417" s="124" t="str">
        <f ca="1">Sprache!$A$67</f>
        <v>T-70 Поворотный подъемник</v>
      </c>
      <c r="V417" s="194">
        <v>13</v>
      </c>
      <c r="W417" s="193">
        <v>13</v>
      </c>
      <c r="X417" s="187" t="str">
        <f ca="1">Sprache!$A$141</f>
        <v>Alu</v>
      </c>
      <c r="Y417" s="187" t="str">
        <f ca="1">Sprache!$A$136</f>
        <v>nein</v>
      </c>
      <c r="Z417" s="187" t="str">
        <f ca="1">Sprache!$A$79</f>
        <v>Створка</v>
      </c>
      <c r="AA417" s="187">
        <v>500</v>
      </c>
      <c r="AB417" s="124">
        <v>549</v>
      </c>
      <c r="AC417" s="187"/>
      <c r="AD417" s="195">
        <v>1.8</v>
      </c>
      <c r="AE417" s="196">
        <v>5</v>
      </c>
      <c r="AF417" s="263" t="str">
        <f>MID(Tabelle2[[#This Row],[bnr full]],1,4)</f>
        <v>F151</v>
      </c>
      <c r="AG417" s="264" t="str">
        <f>MID(Tabelle2[[#This Row],[bnr full]],5,3)</f>
        <v>147</v>
      </c>
      <c r="AH417" s="265" t="str">
        <f>MID(Tabelle2[[#This Row],[bnr full]],8,3)</f>
        <v>688</v>
      </c>
      <c r="AI417" s="264" t="str">
        <f>MID(Tabelle2[[#This Row],[bnr full]],11,3)</f>
        <v>201</v>
      </c>
      <c r="AJ417" s="252" t="str">
        <f>MID(Tabelle2[[#This Row],[bnr full]],11,3)</f>
        <v>201</v>
      </c>
      <c r="AK417" s="197" t="s">
        <v>800</v>
      </c>
      <c r="AL417" s="124" t="str">
        <f ca="1">Sprache!$A$111</f>
        <v>Комплект (Л + П)</v>
      </c>
      <c r="AM417" s="187" t="s">
        <v>25</v>
      </c>
      <c r="AN417" s="187" t="str">
        <f ca="1">Sprache!$A$128</f>
        <v>Пружина, оранжевая</v>
      </c>
      <c r="AO417" s="187" t="s">
        <v>25</v>
      </c>
      <c r="AP417" s="187" t="s">
        <v>25</v>
      </c>
      <c r="AQ417" s="187">
        <f>Limits!$K$9</f>
        <v>200</v>
      </c>
      <c r="AR417" s="124">
        <v>1200</v>
      </c>
      <c r="AS417" s="187"/>
      <c r="AT417" s="124"/>
      <c r="AV417"/>
      <c r="AX417" s="10"/>
      <c r="AY417" s="11"/>
      <c r="AZ417" s="2"/>
      <c r="BC417"/>
    </row>
    <row r="418" spans="1:55" hidden="1" x14ac:dyDescent="0.25">
      <c r="A418" s="12" t="str">
        <f ca="1">IF(F418+G418+H418+I418+J418+D418+E418=3,IF(Tabelle2[[#This Row],[Kappe Weiß]]=Limits!$R$29,1,""),"")</f>
        <v/>
      </c>
      <c r="B418" s="12" t="str">
        <f ca="1">IF(G418+H418+I418+J418+E418+F418=2,IF(Tabelle2[[#This Row],[Kappe Weiß]]=Limits!$R$29,1,""),"")</f>
        <v/>
      </c>
      <c r="C418" s="291"/>
      <c r="D418" s="171">
        <f>IF(Limits!$P$7=TRUE,1,0)</f>
        <v>0</v>
      </c>
      <c r="E418" s="172">
        <f>IF(Daten!$P418+Daten!$Q418+Daten!$S418=3,1,0)</f>
        <v>0</v>
      </c>
      <c r="F418" s="173">
        <f ca="1">IF(AND(Limits!$Q$21=TRUE,Daten!O418=1)=TRUE,1,0)</f>
        <v>0</v>
      </c>
      <c r="G418" s="174">
        <f>IF(AND(Limits!$Q$25=TRUE,Daten!N418=1)=TRUE,1,0)</f>
        <v>0</v>
      </c>
      <c r="H418" s="174">
        <f>IF(AND(Limits!$Q$24=TRUE,Daten!M418=1)=TRUE,1,0)</f>
        <v>0</v>
      </c>
      <c r="I418" s="174">
        <f>IF(AND(Limits!$Q$23=TRUE,Daten!L418=1)=TRUE,1,0)</f>
        <v>0</v>
      </c>
      <c r="J418" s="174">
        <f>IF(AND(Limits!$Q$22=TRUE,Daten!K418=1)=TRUE,1,0)</f>
        <v>0</v>
      </c>
      <c r="K418" s="188">
        <f>IF(Daten!$V418=13,1,0)</f>
        <v>0</v>
      </c>
      <c r="L418" s="189">
        <f>IF(Daten!$V418&lt;&gt;Daten!$W418,1,IF(Daten!$V418=14,1,0))</f>
        <v>1</v>
      </c>
      <c r="M418" s="189">
        <f>IF(Daten!$V418&lt;&gt;Daten!$W418,1,IF(Daten!$V418=16,1,0))</f>
        <v>0</v>
      </c>
      <c r="N418" s="189">
        <f>IF(Daten!$W418=17,1,0)</f>
        <v>0</v>
      </c>
      <c r="O418" s="190">
        <f ca="1">IF(Daten!$X418=Sprache!$A$70,1,0)</f>
        <v>0</v>
      </c>
      <c r="P418" s="191">
        <f>IF(AND(Daten!$AQ418&lt;=KINVARO!$AW$3,Daten!$AR418&gt;=KINVARO!$AW$3)=TRUE,1,0)</f>
        <v>1</v>
      </c>
      <c r="Q418" s="192">
        <f>IF(AND(Daten!$AA418&lt;=KINVARO!$AW$4,Daten!$AB418&gt;=KINVARO!$AW$4)=TRUE,1,0)</f>
        <v>0</v>
      </c>
      <c r="R418" s="192"/>
      <c r="S418" s="192">
        <f>IF(AND(Daten!$AD418&lt;=Limits!$I$70,Daten!$AE418&gt;=Limits!$I$70)=TRUE,1,0)</f>
        <v>0</v>
      </c>
      <c r="T418" s="193">
        <f ca="1">IF(Daten!$Y418=Sprache!$A$135,1,0)</f>
        <v>0</v>
      </c>
      <c r="U418" s="124" t="str">
        <f ca="1">Sprache!$A$67</f>
        <v>T-70 Поворотный подъемник</v>
      </c>
      <c r="V418" s="194">
        <v>14</v>
      </c>
      <c r="W418" s="193">
        <v>14</v>
      </c>
      <c r="X418" s="187" t="str">
        <f ca="1">Sprache!$A$141</f>
        <v>Alu</v>
      </c>
      <c r="Y418" s="187" t="str">
        <f ca="1">Sprache!$A$136</f>
        <v>nein</v>
      </c>
      <c r="Z418" s="187" t="str">
        <f ca="1">Sprache!$A$79</f>
        <v>Створка</v>
      </c>
      <c r="AA418" s="187">
        <v>500</v>
      </c>
      <c r="AB418" s="124">
        <v>549</v>
      </c>
      <c r="AC418" s="187"/>
      <c r="AD418" s="195">
        <v>1.5</v>
      </c>
      <c r="AE418" s="196">
        <v>4</v>
      </c>
      <c r="AF418" s="263" t="str">
        <f>MID(Tabelle2[[#This Row],[bnr full]],1,4)</f>
        <v>F151</v>
      </c>
      <c r="AG418" s="264" t="str">
        <f>MID(Tabelle2[[#This Row],[bnr full]],5,3)</f>
        <v>147</v>
      </c>
      <c r="AH418" s="265" t="str">
        <f>MID(Tabelle2[[#This Row],[bnr full]],8,3)</f>
        <v>689</v>
      </c>
      <c r="AI418" s="264" t="str">
        <f>MID(Tabelle2[[#This Row],[bnr full]],11,3)</f>
        <v>201</v>
      </c>
      <c r="AJ418" s="252" t="str">
        <f>MID(Tabelle2[[#This Row],[bnr full]],11,3)</f>
        <v>201</v>
      </c>
      <c r="AK418" s="197" t="s">
        <v>801</v>
      </c>
      <c r="AL418" s="124" t="str">
        <f ca="1">Sprache!$A$111</f>
        <v>Комплект (Л + П)</v>
      </c>
      <c r="AM418" s="187" t="s">
        <v>25</v>
      </c>
      <c r="AN418" s="187" t="str">
        <f ca="1">Sprache!$A$127</f>
        <v>Пружина, белая</v>
      </c>
      <c r="AO418" s="187" t="s">
        <v>25</v>
      </c>
      <c r="AP418" s="187" t="s">
        <v>25</v>
      </c>
      <c r="AQ418" s="187">
        <f>Limits!$K$9</f>
        <v>200</v>
      </c>
      <c r="AR418" s="124">
        <v>1200</v>
      </c>
      <c r="AS418" s="187"/>
      <c r="AT418" s="124"/>
      <c r="AV418"/>
      <c r="AX418" s="10"/>
      <c r="AY418" s="11"/>
      <c r="AZ418" s="2"/>
      <c r="BC418"/>
    </row>
    <row r="419" spans="1:55" hidden="1" x14ac:dyDescent="0.25">
      <c r="A419" s="12" t="str">
        <f ca="1">IF(F419+G419+H419+I419+J419+D419+E419=3,IF(Tabelle2[[#This Row],[Kappe Weiß]]=Limits!$R$29,1,""),"")</f>
        <v/>
      </c>
      <c r="B419" s="12" t="str">
        <f ca="1">IF(G419+H419+I419+J419+E419+F419=2,IF(Tabelle2[[#This Row],[Kappe Weiß]]=Limits!$R$29,1,""),"")</f>
        <v/>
      </c>
      <c r="C419" s="291"/>
      <c r="D419" s="171">
        <f>IF(Limits!$P$7=TRUE,1,0)</f>
        <v>0</v>
      </c>
      <c r="E419" s="172">
        <f>IF(Daten!$P419+Daten!$Q419+Daten!$S419=3,1,0)</f>
        <v>0</v>
      </c>
      <c r="F419" s="173">
        <f ca="1">IF(AND(Limits!$Q$21=TRUE,Daten!O419=1)=TRUE,1,0)</f>
        <v>0</v>
      </c>
      <c r="G419" s="174">
        <f>IF(AND(Limits!$Q$25=TRUE,Daten!N419=1)=TRUE,1,0)</f>
        <v>0</v>
      </c>
      <c r="H419" s="174">
        <f>IF(AND(Limits!$Q$24=TRUE,Daten!M419=1)=TRUE,1,0)</f>
        <v>0</v>
      </c>
      <c r="I419" s="174">
        <f>IF(AND(Limits!$Q$23=TRUE,Daten!L419=1)=TRUE,1,0)</f>
        <v>0</v>
      </c>
      <c r="J419" s="174">
        <f>IF(AND(Limits!$Q$22=TRUE,Daten!K419=1)=TRUE,1,0)</f>
        <v>0</v>
      </c>
      <c r="K419" s="188">
        <f>IF(Daten!$V419=13,1,0)</f>
        <v>0</v>
      </c>
      <c r="L419" s="189">
        <f>IF(Daten!$V419&lt;&gt;Daten!$W419,1,IF(Daten!$V419=14,1,0))</f>
        <v>1</v>
      </c>
      <c r="M419" s="189">
        <f>IF(Daten!$V419&lt;&gt;Daten!$W419,1,IF(Daten!$V419=16,1,0))</f>
        <v>0</v>
      </c>
      <c r="N419" s="189">
        <f>IF(Daten!$W419=17,1,0)</f>
        <v>0</v>
      </c>
      <c r="O419" s="190">
        <f ca="1">IF(Daten!$X419=Sprache!$A$70,1,0)</f>
        <v>0</v>
      </c>
      <c r="P419" s="191">
        <f>IF(AND(Daten!$AQ419&lt;=KINVARO!$AW$3,Daten!$AR419&gt;=KINVARO!$AW$3)=TRUE,1,0)</f>
        <v>1</v>
      </c>
      <c r="Q419" s="192">
        <f>IF(AND(Daten!$AA419&lt;=KINVARO!$AW$4,Daten!$AB419&gt;=KINVARO!$AW$4)=TRUE,1,0)</f>
        <v>0</v>
      </c>
      <c r="R419" s="192"/>
      <c r="S419" s="192">
        <f>IF(AND(Daten!$AD419&lt;=Limits!$I$70,Daten!$AE419&gt;=Limits!$I$70)=TRUE,1,0)</f>
        <v>0</v>
      </c>
      <c r="T419" s="193">
        <f ca="1">IF(Daten!$Y419=Sprache!$A$135,1,0)</f>
        <v>0</v>
      </c>
      <c r="U419" s="124" t="str">
        <f ca="1">Sprache!$A$67</f>
        <v>T-70 Поворотный подъемник</v>
      </c>
      <c r="V419" s="194">
        <v>14</v>
      </c>
      <c r="W419" s="193">
        <v>14</v>
      </c>
      <c r="X419" s="187" t="str">
        <f ca="1">Sprache!$A$141</f>
        <v>Alu</v>
      </c>
      <c r="Y419" s="187" t="str">
        <f ca="1">Sprache!$A$136</f>
        <v>nein</v>
      </c>
      <c r="Z419" s="187" t="str">
        <f ca="1">Sprache!$A$79</f>
        <v>Створка</v>
      </c>
      <c r="AA419" s="187">
        <v>500</v>
      </c>
      <c r="AB419" s="124">
        <v>549</v>
      </c>
      <c r="AC419" s="187"/>
      <c r="AD419" s="195">
        <v>1.8</v>
      </c>
      <c r="AE419" s="196">
        <v>5</v>
      </c>
      <c r="AF419" s="263" t="str">
        <f>MID(Tabelle2[[#This Row],[bnr full]],1,4)</f>
        <v>F151</v>
      </c>
      <c r="AG419" s="264" t="str">
        <f>MID(Tabelle2[[#This Row],[bnr full]],5,3)</f>
        <v>147</v>
      </c>
      <c r="AH419" s="265" t="str">
        <f>MID(Tabelle2[[#This Row],[bnr full]],8,3)</f>
        <v>689</v>
      </c>
      <c r="AI419" s="264" t="str">
        <f>MID(Tabelle2[[#This Row],[bnr full]],11,3)</f>
        <v>201</v>
      </c>
      <c r="AJ419" s="252" t="str">
        <f>MID(Tabelle2[[#This Row],[bnr full]],11,3)</f>
        <v>201</v>
      </c>
      <c r="AK419" s="197" t="s">
        <v>801</v>
      </c>
      <c r="AL419" s="124" t="str">
        <f ca="1">Sprache!$A$111</f>
        <v>Комплект (Л + П)</v>
      </c>
      <c r="AM419" s="187" t="s">
        <v>25</v>
      </c>
      <c r="AN419" s="187" t="str">
        <f ca="1">Sprache!$A$128</f>
        <v>Пружина, оранжевая</v>
      </c>
      <c r="AO419" s="187" t="s">
        <v>25</v>
      </c>
      <c r="AP419" s="187" t="s">
        <v>25</v>
      </c>
      <c r="AQ419" s="187">
        <f>Limits!$K$9</f>
        <v>200</v>
      </c>
      <c r="AR419" s="124">
        <v>1200</v>
      </c>
      <c r="AS419" s="187"/>
      <c r="AT419" s="124"/>
      <c r="AV419"/>
      <c r="AX419" s="10"/>
      <c r="AY419" s="11"/>
      <c r="AZ419" s="2"/>
      <c r="BC419"/>
    </row>
    <row r="420" spans="1:55" hidden="1" x14ac:dyDescent="0.25">
      <c r="A420" s="12" t="str">
        <f ca="1">IF(F420+G420+H420+I420+J420+D420+E420=3,IF(Tabelle2[[#This Row],[Kappe Weiß]]=Limits!$R$29,1,""),"")</f>
        <v/>
      </c>
      <c r="B420" s="12" t="str">
        <f ca="1">IF(G420+H420+I420+J420+E420+F420=2,IF(Tabelle2[[#This Row],[Kappe Weiß]]=Limits!$R$29,1,""),"")</f>
        <v/>
      </c>
      <c r="C420" s="291"/>
      <c r="D420" s="171">
        <f>IF(Limits!$P$7=TRUE,1,0)</f>
        <v>0</v>
      </c>
      <c r="E420" s="172">
        <f>IF(Daten!$P420+Daten!$Q420+Daten!$S420=3,1,0)</f>
        <v>0</v>
      </c>
      <c r="F420" s="173">
        <f ca="1">IF(AND(Limits!$Q$21=TRUE,Daten!O420=1)=TRUE,1,0)</f>
        <v>0</v>
      </c>
      <c r="G420" s="174">
        <f>IF(AND(Limits!$Q$25=TRUE,Daten!N420=1)=TRUE,1,0)</f>
        <v>0</v>
      </c>
      <c r="H420" s="174">
        <f>IF(AND(Limits!$Q$24=TRUE,Daten!M420=1)=TRUE,1,0)</f>
        <v>0</v>
      </c>
      <c r="I420" s="174">
        <f>IF(AND(Limits!$Q$23=TRUE,Daten!L420=1)=TRUE,1,0)</f>
        <v>0</v>
      </c>
      <c r="J420" s="174">
        <f>IF(AND(Limits!$Q$22=TRUE,Daten!K420=1)=TRUE,1,0)</f>
        <v>0</v>
      </c>
      <c r="K420" s="188">
        <f>IF(Daten!$V420=13,1,0)</f>
        <v>0</v>
      </c>
      <c r="L420" s="189">
        <f>IF(Daten!$V420&lt;&gt;Daten!$W420,1,IF(Daten!$V420=14,1,0))</f>
        <v>0</v>
      </c>
      <c r="M420" s="189">
        <f>IF(Daten!$V420&lt;&gt;Daten!$W420,1,IF(Daten!$V420=16,1,0))</f>
        <v>1</v>
      </c>
      <c r="N420" s="189">
        <f>IF(Daten!$W420=17,1,0)</f>
        <v>0</v>
      </c>
      <c r="O420" s="190">
        <f ca="1">IF(Daten!$X420=Sprache!$A$70,1,0)</f>
        <v>0</v>
      </c>
      <c r="P420" s="191">
        <f>IF(AND(Daten!$AQ420&lt;=KINVARO!$AW$3,Daten!$AR420&gt;=KINVARO!$AW$3)=TRUE,1,0)</f>
        <v>1</v>
      </c>
      <c r="Q420" s="192">
        <f>IF(AND(Daten!$AA420&lt;=KINVARO!$AW$4,Daten!$AB420&gt;=KINVARO!$AW$4)=TRUE,1,0)</f>
        <v>0</v>
      </c>
      <c r="R420" s="192"/>
      <c r="S420" s="192">
        <f>IF(AND(Daten!$AD420&lt;=Limits!$I$70,Daten!$AE420&gt;=Limits!$I$70)=TRUE,1,0)</f>
        <v>0</v>
      </c>
      <c r="T420" s="193">
        <f ca="1">IF(Daten!$Y420=Sprache!$A$135,1,0)</f>
        <v>0</v>
      </c>
      <c r="U420" s="124" t="str">
        <f ca="1">Sprache!$A$67</f>
        <v>T-70 Поворотный подъемник</v>
      </c>
      <c r="V420" s="194">
        <v>16</v>
      </c>
      <c r="W420" s="193">
        <v>16</v>
      </c>
      <c r="X420" s="187" t="str">
        <f ca="1">Sprache!$A$141</f>
        <v>Alu</v>
      </c>
      <c r="Y420" s="187" t="str">
        <f ca="1">Sprache!$A$136</f>
        <v>nein</v>
      </c>
      <c r="Z420" s="187" t="str">
        <f ca="1">Sprache!$A$79</f>
        <v>Створка</v>
      </c>
      <c r="AA420" s="187">
        <v>500</v>
      </c>
      <c r="AB420" s="124">
        <v>549</v>
      </c>
      <c r="AC420" s="187"/>
      <c r="AD420" s="195">
        <v>1.5</v>
      </c>
      <c r="AE420" s="196">
        <v>4</v>
      </c>
      <c r="AF420" s="263" t="str">
        <f>MID(Tabelle2[[#This Row],[bnr full]],1,4)</f>
        <v>F151</v>
      </c>
      <c r="AG420" s="264" t="str">
        <f>MID(Tabelle2[[#This Row],[bnr full]],5,3)</f>
        <v>147</v>
      </c>
      <c r="AH420" s="265" t="str">
        <f>MID(Tabelle2[[#This Row],[bnr full]],8,3)</f>
        <v>690</v>
      </c>
      <c r="AI420" s="264" t="str">
        <f>MID(Tabelle2[[#This Row],[bnr full]],11,3)</f>
        <v>201</v>
      </c>
      <c r="AJ420" s="252" t="str">
        <f>MID(Tabelle2[[#This Row],[bnr full]],11,3)</f>
        <v>201</v>
      </c>
      <c r="AK420" s="197" t="s">
        <v>802</v>
      </c>
      <c r="AL420" s="124" t="str">
        <f ca="1">Sprache!$A$111</f>
        <v>Комплект (Л + П)</v>
      </c>
      <c r="AM420" s="187" t="s">
        <v>25</v>
      </c>
      <c r="AN420" s="187" t="str">
        <f ca="1">Sprache!$A$127</f>
        <v>Пружина, белая</v>
      </c>
      <c r="AO420" s="187" t="s">
        <v>25</v>
      </c>
      <c r="AP420" s="187" t="s">
        <v>25</v>
      </c>
      <c r="AQ420" s="187">
        <f>Limits!$K$9</f>
        <v>200</v>
      </c>
      <c r="AR420" s="124">
        <v>1200</v>
      </c>
      <c r="AS420" s="187"/>
      <c r="AT420" s="124"/>
      <c r="AV420"/>
      <c r="AX420" s="10"/>
      <c r="AY420" s="11"/>
      <c r="AZ420" s="2"/>
      <c r="BC420"/>
    </row>
    <row r="421" spans="1:55" hidden="1" x14ac:dyDescent="0.25">
      <c r="A421" s="12" t="str">
        <f ca="1">IF(F421+G421+H421+I421+J421+D421+E421=3,IF(Tabelle2[[#This Row],[Kappe Weiß]]=Limits!$R$29,1,""),"")</f>
        <v/>
      </c>
      <c r="B421" s="12" t="str">
        <f ca="1">IF(G421+H421+I421+J421+E421+F421=2,IF(Tabelle2[[#This Row],[Kappe Weiß]]=Limits!$R$29,1,""),"")</f>
        <v/>
      </c>
      <c r="C421" s="291">
        <v>0</v>
      </c>
      <c r="D421" s="171">
        <f>IF(Limits!$P$7=TRUE,1,0)</f>
        <v>0</v>
      </c>
      <c r="E421" s="172">
        <f>IF(Daten!$P421+Daten!$Q421+Daten!$S421=3,1,0)</f>
        <v>0</v>
      </c>
      <c r="F421" s="173">
        <f ca="1">IF(AND(Limits!$Q$21=TRUE,Daten!O421=1)=TRUE,1,0)</f>
        <v>0</v>
      </c>
      <c r="G421" s="174">
        <f>IF(AND(Limits!$Q$25=TRUE,Daten!N421=1)=TRUE,1,0)</f>
        <v>0</v>
      </c>
      <c r="H421" s="174">
        <f>IF(AND(Limits!$Q$24=TRUE,Daten!M421=1)=TRUE,1,0)</f>
        <v>0</v>
      </c>
      <c r="I421" s="174">
        <f>IF(AND(Limits!$Q$23=TRUE,Daten!L421=1)=TRUE,1,0)</f>
        <v>0</v>
      </c>
      <c r="J421" s="174">
        <f>IF(AND(Limits!$Q$22=TRUE,Daten!K421=1)=TRUE,1,0)</f>
        <v>0</v>
      </c>
      <c r="K421" s="188">
        <f>IF(Daten!$V421=13,1,0)</f>
        <v>0</v>
      </c>
      <c r="L421" s="189">
        <f>IF(Daten!$V421&lt;&gt;Daten!$W421,1,IF(Daten!$V421=14,1,0))</f>
        <v>0</v>
      </c>
      <c r="M421" s="189">
        <f>IF(Daten!$V421&lt;&gt;Daten!$W421,1,IF(Daten!$V421=16,1,0))</f>
        <v>1</v>
      </c>
      <c r="N421" s="189">
        <f>IF(Daten!$W421=17,1,0)</f>
        <v>0</v>
      </c>
      <c r="O421" s="190">
        <f ca="1">IF(Daten!$X421=Sprache!$A$70,1,0)</f>
        <v>0</v>
      </c>
      <c r="P421" s="191">
        <f>IF(AND(Daten!$AQ421&lt;=KINVARO!$AW$3,Daten!$AR421&gt;=KINVARO!$AW$3)=TRUE,1,0)</f>
        <v>1</v>
      </c>
      <c r="Q421" s="192">
        <f>IF(AND(Daten!$AA421&lt;=KINVARO!$AW$4,Daten!$AB421&gt;=KINVARO!$AW$4)=TRUE,1,0)</f>
        <v>0</v>
      </c>
      <c r="R421" s="192"/>
      <c r="S421" s="192">
        <f>IF(AND(Daten!$AD421&lt;=Limits!$I$70,Daten!$AE421&gt;=Limits!$I$70)=TRUE,1,0)</f>
        <v>0</v>
      </c>
      <c r="T421" s="193">
        <f ca="1">IF(Daten!$Y421=Sprache!$A$135,1,0)</f>
        <v>0</v>
      </c>
      <c r="U421" s="124" t="str">
        <f ca="1">Sprache!$A$67</f>
        <v>T-70 Поворотный подъемник</v>
      </c>
      <c r="V421" s="194">
        <v>16</v>
      </c>
      <c r="W421" s="193">
        <v>16</v>
      </c>
      <c r="X421" s="187" t="str">
        <f ca="1">Sprache!$A$141</f>
        <v>Alu</v>
      </c>
      <c r="Y421" s="187" t="str">
        <f ca="1">Sprache!$A$136</f>
        <v>nein</v>
      </c>
      <c r="Z421" s="187" t="str">
        <f ca="1">Sprache!$A$79</f>
        <v>Створка</v>
      </c>
      <c r="AA421" s="187">
        <v>500</v>
      </c>
      <c r="AB421" s="124">
        <v>549</v>
      </c>
      <c r="AC421" s="187"/>
      <c r="AD421" s="195">
        <v>1.8</v>
      </c>
      <c r="AE421" s="196">
        <v>5</v>
      </c>
      <c r="AF421" s="263" t="str">
        <f>MID(Tabelle2[[#This Row],[bnr full]],1,4)</f>
        <v>F151</v>
      </c>
      <c r="AG421" s="264" t="str">
        <f>MID(Tabelle2[[#This Row],[bnr full]],5,3)</f>
        <v>147</v>
      </c>
      <c r="AH421" s="265" t="str">
        <f>MID(Tabelle2[[#This Row],[bnr full]],8,3)</f>
        <v>690</v>
      </c>
      <c r="AI421" s="264" t="str">
        <f>MID(Tabelle2[[#This Row],[bnr full]],11,3)</f>
        <v>201</v>
      </c>
      <c r="AJ421" s="252" t="str">
        <f>MID(Tabelle2[[#This Row],[bnr full]],11,3)</f>
        <v>201</v>
      </c>
      <c r="AK421" s="197" t="s">
        <v>802</v>
      </c>
      <c r="AL421" s="124" t="str">
        <f ca="1">Sprache!$A$111</f>
        <v>Комплект (Л + П)</v>
      </c>
      <c r="AM421" s="187" t="s">
        <v>25</v>
      </c>
      <c r="AN421" s="187" t="str">
        <f ca="1">Sprache!$A$128</f>
        <v>Пружина, оранжевая</v>
      </c>
      <c r="AO421" s="187" t="s">
        <v>25</v>
      </c>
      <c r="AP421" s="187" t="s">
        <v>25</v>
      </c>
      <c r="AQ421" s="187">
        <f>Limits!$K$9</f>
        <v>200</v>
      </c>
      <c r="AR421" s="124">
        <v>1200</v>
      </c>
      <c r="AS421" s="187"/>
      <c r="AT421" s="124"/>
      <c r="AV421"/>
      <c r="AX421" s="10"/>
      <c r="AY421" s="11"/>
      <c r="AZ421" s="2"/>
      <c r="BC421"/>
    </row>
    <row r="422" spans="1:55" hidden="1" x14ac:dyDescent="0.25">
      <c r="A422" s="12" t="str">
        <f ca="1">IF(F422+G422+H422+I422+J422+D422+E422=3,IF(Tabelle2[[#This Row],[Kappe Weiß]]=Limits!$R$29,1,""),"")</f>
        <v/>
      </c>
      <c r="B422" s="12" t="str">
        <f ca="1">IF(G422+H422+I422+J422+E422+F422=2,IF(Tabelle2[[#This Row],[Kappe Weiß]]=Limits!$R$29,1,""),"")</f>
        <v/>
      </c>
      <c r="C422" s="291">
        <v>0</v>
      </c>
      <c r="D422" s="171">
        <f>IF(Limits!$P$7=TRUE,1,0)</f>
        <v>0</v>
      </c>
      <c r="E422" s="172">
        <f>IF(Daten!$P422+Daten!$Q422+Daten!$S422=3,1,0)</f>
        <v>0</v>
      </c>
      <c r="F422" s="173">
        <f ca="1">IF(AND(Limits!$Q$21=TRUE,Daten!O422=1)=TRUE,1,0)</f>
        <v>0</v>
      </c>
      <c r="G422" s="174">
        <f>IF(AND(Limits!$Q$25=TRUE,Daten!N422=1)=TRUE,1,0)</f>
        <v>0</v>
      </c>
      <c r="H422" s="174">
        <f>IF(AND(Limits!$Q$24=TRUE,Daten!M422=1)=TRUE,1,0)</f>
        <v>0</v>
      </c>
      <c r="I422" s="174">
        <f>IF(AND(Limits!$Q$23=TRUE,Daten!L422=1)=TRUE,1,0)</f>
        <v>0</v>
      </c>
      <c r="J422" s="174">
        <f>IF(AND(Limits!$Q$22=TRUE,Daten!K422=1)=TRUE,1,0)</f>
        <v>0</v>
      </c>
      <c r="K422" s="188">
        <f>IF(Daten!$V422=13,1,0)</f>
        <v>0</v>
      </c>
      <c r="L422" s="189">
        <f>IF(Daten!$V422&lt;&gt;Daten!$W422,1,IF(Daten!$V422=14,1,0))</f>
        <v>0</v>
      </c>
      <c r="M422" s="189">
        <f>IF(Daten!$V422&lt;&gt;Daten!$W422,1,IF(Daten!$V422=16,1,0))</f>
        <v>0</v>
      </c>
      <c r="N422" s="189">
        <f>IF(Daten!$W422=17,1,0)</f>
        <v>1</v>
      </c>
      <c r="O422" s="190">
        <f ca="1">IF(Daten!$X422=Sprache!$A$70,1,0)</f>
        <v>0</v>
      </c>
      <c r="P422" s="191">
        <f>IF(AND(Daten!$AQ422&lt;=KINVARO!$AW$3,Daten!$AR422&gt;=KINVARO!$AW$3)=TRUE,1,0)</f>
        <v>1</v>
      </c>
      <c r="Q422" s="192">
        <f>IF(AND(Daten!$AA422&lt;=KINVARO!$AW$4,Daten!$AB422&gt;=KINVARO!$AW$4)=TRUE,1,0)</f>
        <v>0</v>
      </c>
      <c r="R422" s="192"/>
      <c r="S422" s="192">
        <f>IF(AND(Daten!$AD422&lt;=Limits!$I$70,Daten!$AE422&gt;=Limits!$I$70)=TRUE,1,0)</f>
        <v>0</v>
      </c>
      <c r="T422" s="193">
        <f ca="1">IF(Daten!$Y422=Sprache!$A$135,1,0)</f>
        <v>0</v>
      </c>
      <c r="U422" s="124" t="str">
        <f ca="1">Sprache!$A$67</f>
        <v>T-70 Поворотный подъемник</v>
      </c>
      <c r="V422" s="194">
        <v>17</v>
      </c>
      <c r="W422" s="193">
        <v>17</v>
      </c>
      <c r="X422" s="187" t="str">
        <f ca="1">Sprache!$A$141</f>
        <v>Alu</v>
      </c>
      <c r="Y422" s="187" t="str">
        <f ca="1">Sprache!$A$136</f>
        <v>nein</v>
      </c>
      <c r="Z422" s="187" t="str">
        <f ca="1">Sprache!$A$79</f>
        <v>Створка</v>
      </c>
      <c r="AA422" s="187">
        <v>500</v>
      </c>
      <c r="AB422" s="124">
        <v>549</v>
      </c>
      <c r="AC422" s="187"/>
      <c r="AD422" s="195">
        <v>1.5</v>
      </c>
      <c r="AE422" s="196">
        <v>4</v>
      </c>
      <c r="AF422" s="263" t="str">
        <f>MID(Tabelle2[[#This Row],[bnr full]],1,4)</f>
        <v>F151</v>
      </c>
      <c r="AG422" s="264" t="str">
        <f>MID(Tabelle2[[#This Row],[bnr full]],5,3)</f>
        <v>147</v>
      </c>
      <c r="AH422" s="265" t="str">
        <f>MID(Tabelle2[[#This Row],[bnr full]],8,3)</f>
        <v>691</v>
      </c>
      <c r="AI422" s="264" t="str">
        <f>MID(Tabelle2[[#This Row],[bnr full]],11,3)</f>
        <v>201</v>
      </c>
      <c r="AJ422" s="252" t="str">
        <f>MID(Tabelle2[[#This Row],[bnr full]],11,3)</f>
        <v>201</v>
      </c>
      <c r="AK422" s="197" t="s">
        <v>803</v>
      </c>
      <c r="AL422" s="124" t="str">
        <f ca="1">Sprache!$A$111</f>
        <v>Комплект (Л + П)</v>
      </c>
      <c r="AM422" s="187" t="s">
        <v>25</v>
      </c>
      <c r="AN422" s="187" t="str">
        <f ca="1">Sprache!$A$127</f>
        <v>Пружина, белая</v>
      </c>
      <c r="AO422" s="187" t="s">
        <v>25</v>
      </c>
      <c r="AP422" s="187" t="s">
        <v>25</v>
      </c>
      <c r="AQ422" s="187">
        <f>Limits!$K$9</f>
        <v>200</v>
      </c>
      <c r="AR422" s="124">
        <v>1200</v>
      </c>
      <c r="AS422" s="187"/>
      <c r="AT422" s="124"/>
      <c r="AV422"/>
      <c r="AX422" s="10"/>
      <c r="AY422" s="11"/>
      <c r="AZ422" s="2"/>
      <c r="BC422"/>
    </row>
    <row r="423" spans="1:55" hidden="1" x14ac:dyDescent="0.25">
      <c r="A423" s="12" t="str">
        <f ca="1">IF(F423+G423+H423+I423+J423+D423+E423=3,IF(Tabelle2[[#This Row],[Kappe Weiß]]=Limits!$R$29,1,""),"")</f>
        <v/>
      </c>
      <c r="B423" s="12" t="str">
        <f ca="1">IF(G423+H423+I423+J423+E423+F423=2,IF(Tabelle2[[#This Row],[Kappe Weiß]]=Limits!$R$29,1,""),"")</f>
        <v/>
      </c>
      <c r="C423" s="291">
        <v>0</v>
      </c>
      <c r="D423" s="171">
        <f>IF(Limits!$P$7=TRUE,1,0)</f>
        <v>0</v>
      </c>
      <c r="E423" s="172">
        <f>IF(Daten!$P423+Daten!$Q423+Daten!$S423=3,1,0)</f>
        <v>0</v>
      </c>
      <c r="F423" s="173">
        <f ca="1">IF(AND(Limits!$Q$21=TRUE,Daten!O423=1)=TRUE,1,0)</f>
        <v>0</v>
      </c>
      <c r="G423" s="174">
        <f>IF(AND(Limits!$Q$25=TRUE,Daten!N423=1)=TRUE,1,0)</f>
        <v>0</v>
      </c>
      <c r="H423" s="174">
        <f>IF(AND(Limits!$Q$24=TRUE,Daten!M423=1)=TRUE,1,0)</f>
        <v>0</v>
      </c>
      <c r="I423" s="174">
        <f>IF(AND(Limits!$Q$23=TRUE,Daten!L423=1)=TRUE,1,0)</f>
        <v>0</v>
      </c>
      <c r="J423" s="174">
        <f>IF(AND(Limits!$Q$22=TRUE,Daten!K423=1)=TRUE,1,0)</f>
        <v>0</v>
      </c>
      <c r="K423" s="188">
        <f>IF(Daten!$V423=13,1,0)</f>
        <v>0</v>
      </c>
      <c r="L423" s="189">
        <f>IF(Daten!$V423&lt;&gt;Daten!$W423,1,IF(Daten!$V423=14,1,0))</f>
        <v>0</v>
      </c>
      <c r="M423" s="189">
        <f>IF(Daten!$V423&lt;&gt;Daten!$W423,1,IF(Daten!$V423=16,1,0))</f>
        <v>0</v>
      </c>
      <c r="N423" s="189">
        <f>IF(Daten!$W423=17,1,0)</f>
        <v>1</v>
      </c>
      <c r="O423" s="190">
        <f ca="1">IF(Daten!$X423=Sprache!$A$70,1,0)</f>
        <v>0</v>
      </c>
      <c r="P423" s="191">
        <f>IF(AND(Daten!$AQ423&lt;=KINVARO!$AW$3,Daten!$AR423&gt;=KINVARO!$AW$3)=TRUE,1,0)</f>
        <v>1</v>
      </c>
      <c r="Q423" s="192">
        <f>IF(AND(Daten!$AA423&lt;=KINVARO!$AW$4,Daten!$AB423&gt;=KINVARO!$AW$4)=TRUE,1,0)</f>
        <v>0</v>
      </c>
      <c r="R423" s="192"/>
      <c r="S423" s="192">
        <f>IF(AND(Daten!$AD423&lt;=Limits!$I$70,Daten!$AE423&gt;=Limits!$I$70)=TRUE,1,0)</f>
        <v>0</v>
      </c>
      <c r="T423" s="193">
        <f ca="1">IF(Daten!$Y423=Sprache!$A$135,1,0)</f>
        <v>0</v>
      </c>
      <c r="U423" s="124" t="str">
        <f ca="1">Sprache!$A$67</f>
        <v>T-70 Поворотный подъемник</v>
      </c>
      <c r="V423" s="194">
        <v>17</v>
      </c>
      <c r="W423" s="193">
        <v>17</v>
      </c>
      <c r="X423" s="187" t="str">
        <f ca="1">Sprache!$A$141</f>
        <v>Alu</v>
      </c>
      <c r="Y423" s="187" t="str">
        <f ca="1">Sprache!$A$136</f>
        <v>nein</v>
      </c>
      <c r="Z423" s="187" t="str">
        <f ca="1">Sprache!$A$79</f>
        <v>Створка</v>
      </c>
      <c r="AA423" s="187">
        <v>500</v>
      </c>
      <c r="AB423" s="124">
        <v>549</v>
      </c>
      <c r="AC423" s="187"/>
      <c r="AD423" s="195">
        <v>1.8</v>
      </c>
      <c r="AE423" s="196">
        <v>5</v>
      </c>
      <c r="AF423" s="263" t="str">
        <f>MID(Tabelle2[[#This Row],[bnr full]],1,4)</f>
        <v>F151</v>
      </c>
      <c r="AG423" s="264" t="str">
        <f>MID(Tabelle2[[#This Row],[bnr full]],5,3)</f>
        <v>147</v>
      </c>
      <c r="AH423" s="265" t="str">
        <f>MID(Tabelle2[[#This Row],[bnr full]],8,3)</f>
        <v>691</v>
      </c>
      <c r="AI423" s="264" t="str">
        <f>MID(Tabelle2[[#This Row],[bnr full]],11,3)</f>
        <v>201</v>
      </c>
      <c r="AJ423" s="252" t="str">
        <f>MID(Tabelle2[[#This Row],[bnr full]],11,3)</f>
        <v>201</v>
      </c>
      <c r="AK423" s="197" t="s">
        <v>803</v>
      </c>
      <c r="AL423" s="124" t="str">
        <f ca="1">Sprache!$A$111</f>
        <v>Комплект (Л + П)</v>
      </c>
      <c r="AM423" s="187" t="s">
        <v>25</v>
      </c>
      <c r="AN423" s="187" t="str">
        <f ca="1">Sprache!$A$128</f>
        <v>Пружина, оранжевая</v>
      </c>
      <c r="AO423" s="187" t="s">
        <v>25</v>
      </c>
      <c r="AP423" s="187" t="s">
        <v>25</v>
      </c>
      <c r="AQ423" s="187">
        <f>Limits!$K$9</f>
        <v>200</v>
      </c>
      <c r="AR423" s="124">
        <v>1200</v>
      </c>
      <c r="AS423" s="187"/>
      <c r="AT423" s="124"/>
      <c r="AV423"/>
      <c r="AX423" s="10"/>
      <c r="AY423" s="11"/>
      <c r="AZ423" s="2"/>
      <c r="BC423"/>
    </row>
    <row r="424" spans="1:55" hidden="1" x14ac:dyDescent="0.25">
      <c r="A424" s="12" t="str">
        <f ca="1">IF(F424+G424+H424+I424+J424+D424+E424=3,IF(Tabelle2[[#This Row],[Kappe Weiß]]=Limits!$R$29,1,""),"")</f>
        <v/>
      </c>
      <c r="B424" s="12" t="str">
        <f ca="1">IF(G424+H424+I424+J424+E424+F424=2,IF(Tabelle2[[#This Row],[Kappe Weiß]]=Limits!$R$29,1,""),"")</f>
        <v/>
      </c>
      <c r="C424" s="292">
        <v>0</v>
      </c>
      <c r="D424" s="171">
        <f>IF(Limits!$P$7=TRUE,1,0)</f>
        <v>0</v>
      </c>
      <c r="E424" s="172">
        <f>IF(Daten!$P424+Daten!$Q424+Daten!$S424=3,1,0)</f>
        <v>0</v>
      </c>
      <c r="F424" s="173">
        <f ca="1">IF(AND(Limits!$Q$21=TRUE,Daten!O424=1)=TRUE,1,0)</f>
        <v>1</v>
      </c>
      <c r="G424" s="174">
        <f ca="1">IF(AND(Limits!$Q$25=TRUE,Daten!N424=1)=TRUE,1,0)</f>
        <v>0</v>
      </c>
      <c r="H424" s="174">
        <f ca="1">IF(AND(Limits!$Q$24=TRUE,Daten!M424=1)=TRUE,1,0)</f>
        <v>0</v>
      </c>
      <c r="I424" s="174">
        <f ca="1">IF(AND(Limits!$Q$23=TRUE,Daten!L424=1)=TRUE,1,0)</f>
        <v>0</v>
      </c>
      <c r="J424" s="174">
        <f ca="1">IF(AND(Limits!$Q$22=TRUE,Daten!K424=1)=TRUE,1,0)</f>
        <v>0</v>
      </c>
      <c r="K424" s="188">
        <f ca="1">IF(Daten!$V424=13,1,0)</f>
        <v>0</v>
      </c>
      <c r="L424" s="189">
        <f ca="1">IF(Daten!$V424&lt;&gt;Daten!$W424,1,IF(Daten!$V424=14,1,0))</f>
        <v>0</v>
      </c>
      <c r="M424" s="189">
        <f ca="1">IF(Daten!$V424&lt;&gt;Daten!$W424,1,IF(Daten!$V424=16,1,0))</f>
        <v>0</v>
      </c>
      <c r="N424" s="189">
        <f ca="1">IF(Daten!$W424=17,1,0)</f>
        <v>0</v>
      </c>
      <c r="O424" s="190">
        <f ca="1">IF(Daten!$X424=Sprache!$A$70,1,0)</f>
        <v>1</v>
      </c>
      <c r="P424" s="198">
        <f>IF(AND(Daten!$AQ424&lt;=KINVARO!$AW$3,Daten!$AR424&gt;=KINVARO!$AW$3)=TRUE,1,0)</f>
        <v>1</v>
      </c>
      <c r="Q424" s="199">
        <f>IF(AND(Daten!$AA424&lt;=KINVARO!$AW$4,Daten!$AB424&gt;=KINVARO!$AW$4)=TRUE,1,0)</f>
        <v>0</v>
      </c>
      <c r="R424" s="199"/>
      <c r="S424" s="199">
        <f>IF(AND(Daten!$AD424&lt;=Limits!$I$70,Daten!$AE424&gt;=Limits!$I$70)=TRUE,1,0)</f>
        <v>0</v>
      </c>
      <c r="T424" s="200">
        <f ca="1">IF(Daten!$Y424=Sprache!$A$135,1,0)</f>
        <v>0</v>
      </c>
      <c r="U424" s="201" t="str">
        <f ca="1">Sprache!$A$67</f>
        <v>T-70 Поворотный подъемник</v>
      </c>
      <c r="V424" s="202" t="str">
        <f ca="1">Sprache!$A$74</f>
        <v>var</v>
      </c>
      <c r="W424" s="200" t="str">
        <f ca="1">Sprache!$A$74</f>
        <v>var</v>
      </c>
      <c r="X424" s="203" t="str">
        <f ca="1">Sprache!$A$70</f>
        <v>соединение с древесиной</v>
      </c>
      <c r="Y424" s="187" t="str">
        <f ca="1">Sprache!$A$136</f>
        <v>nein</v>
      </c>
      <c r="Z424" s="203" t="str">
        <f ca="1">Sprache!$A$79</f>
        <v>Створка</v>
      </c>
      <c r="AA424" s="203">
        <v>550</v>
      </c>
      <c r="AB424" s="201">
        <v>599</v>
      </c>
      <c r="AC424" s="203"/>
      <c r="AD424" s="204">
        <v>1.4</v>
      </c>
      <c r="AE424" s="205">
        <v>3.7</v>
      </c>
      <c r="AF424" s="266" t="str">
        <f>MID(Tabelle2[[#This Row],[bnr full]],1,4)</f>
        <v>F151</v>
      </c>
      <c r="AG424" s="267" t="str">
        <f>MID(Tabelle2[[#This Row],[bnr full]],5,3)</f>
        <v>147</v>
      </c>
      <c r="AH424" s="268" t="str">
        <f>MID(Tabelle2[[#This Row],[bnr full]],8,3)</f>
        <v>692</v>
      </c>
      <c r="AI424" s="267" t="str">
        <f>MID(Tabelle2[[#This Row],[bnr full]],11,3)</f>
        <v>201</v>
      </c>
      <c r="AJ424" s="253" t="str">
        <f>MID(Tabelle2[[#This Row],[bnr full]],11,3)</f>
        <v>201</v>
      </c>
      <c r="AK424" s="206" t="s">
        <v>799</v>
      </c>
      <c r="AL424" s="201" t="str">
        <f ca="1">Sprache!$A$111</f>
        <v>Комплект (Л + П)</v>
      </c>
      <c r="AM424" s="203" t="s">
        <v>25</v>
      </c>
      <c r="AN424" s="203" t="str">
        <f ca="1">Sprache!$A$127</f>
        <v>Пружина, белая</v>
      </c>
      <c r="AO424" s="187" t="s">
        <v>25</v>
      </c>
      <c r="AP424" s="187" t="s">
        <v>25</v>
      </c>
      <c r="AQ424" s="203">
        <f>Limits!$K$9</f>
        <v>200</v>
      </c>
      <c r="AR424" s="201">
        <v>1200</v>
      </c>
      <c r="AS424" s="187"/>
      <c r="AT424" s="124"/>
      <c r="AV424"/>
      <c r="AX424" s="10"/>
      <c r="AY424" s="11"/>
      <c r="AZ424" s="2"/>
      <c r="BC424"/>
    </row>
    <row r="425" spans="1:55" hidden="1" x14ac:dyDescent="0.25">
      <c r="A425" s="12" t="str">
        <f ca="1">IF(F425+G425+H425+I425+J425+D425+E425=3,IF(Tabelle2[[#This Row],[Kappe Weiß]]=Limits!$R$29,1,""),"")</f>
        <v/>
      </c>
      <c r="B425" s="12" t="str">
        <f ca="1">IF(G425+H425+I425+J425+E425+F425=2,IF(Tabelle2[[#This Row],[Kappe Weiß]]=Limits!$R$29,1,""),"")</f>
        <v/>
      </c>
      <c r="C425" s="291">
        <v>0</v>
      </c>
      <c r="D425" s="171">
        <f>IF(Limits!$P$7=TRUE,1,0)</f>
        <v>0</v>
      </c>
      <c r="E425" s="172">
        <f>IF(Daten!$P425+Daten!$Q425+Daten!$S425=3,1,0)</f>
        <v>0</v>
      </c>
      <c r="F425" s="173">
        <f ca="1">IF(AND(Limits!$Q$21=TRUE,Daten!O425=1)=TRUE,1,0)</f>
        <v>1</v>
      </c>
      <c r="G425" s="174">
        <f ca="1">IF(AND(Limits!$Q$25=TRUE,Daten!N425=1)=TRUE,1,0)</f>
        <v>0</v>
      </c>
      <c r="H425" s="174">
        <f ca="1">IF(AND(Limits!$Q$24=TRUE,Daten!M425=1)=TRUE,1,0)</f>
        <v>0</v>
      </c>
      <c r="I425" s="174">
        <f ca="1">IF(AND(Limits!$Q$23=TRUE,Daten!L425=1)=TRUE,1,0)</f>
        <v>0</v>
      </c>
      <c r="J425" s="174">
        <f ca="1">IF(AND(Limits!$Q$22=TRUE,Daten!K425=1)=TRUE,1,0)</f>
        <v>0</v>
      </c>
      <c r="K425" s="188">
        <f ca="1">IF(Daten!$V425=13,1,0)</f>
        <v>0</v>
      </c>
      <c r="L425" s="189">
        <f ca="1">IF(Daten!$V425&lt;&gt;Daten!$W425,1,IF(Daten!$V425=14,1,0))</f>
        <v>0</v>
      </c>
      <c r="M425" s="189">
        <f ca="1">IF(Daten!$V425&lt;&gt;Daten!$W425,1,IF(Daten!$V425=16,1,0))</f>
        <v>0</v>
      </c>
      <c r="N425" s="189">
        <f ca="1">IF(Daten!$W425=17,1,0)</f>
        <v>0</v>
      </c>
      <c r="O425" s="190">
        <f ca="1">IF(Daten!$X425=Sprache!$A$70,1,0)</f>
        <v>1</v>
      </c>
      <c r="P425" s="191">
        <f>IF(AND(Daten!$AQ425&lt;=KINVARO!$AW$3,Daten!$AR425&gt;=KINVARO!$AW$3)=TRUE,1,0)</f>
        <v>1</v>
      </c>
      <c r="Q425" s="192">
        <f>IF(AND(Daten!$AA425&lt;=KINVARO!$AW$4,Daten!$AB425&gt;=KINVARO!$AW$4)=TRUE,1,0)</f>
        <v>0</v>
      </c>
      <c r="R425" s="192"/>
      <c r="S425" s="192">
        <f>IF(AND(Daten!$AD425&lt;=Limits!$I$70,Daten!$AE425&gt;=Limits!$I$70)=TRUE,1,0)</f>
        <v>0</v>
      </c>
      <c r="T425" s="193">
        <f ca="1">IF(Daten!$Y425=Sprache!$A$135,1,0)</f>
        <v>0</v>
      </c>
      <c r="U425" s="124" t="str">
        <f ca="1">Sprache!$A$67</f>
        <v>T-70 Поворотный подъемник</v>
      </c>
      <c r="V425" s="194" t="str">
        <f ca="1">Sprache!$A$74</f>
        <v>var</v>
      </c>
      <c r="W425" s="193" t="str">
        <f ca="1">Sprache!$A$74</f>
        <v>var</v>
      </c>
      <c r="X425" s="187" t="str">
        <f ca="1">Sprache!$A$70</f>
        <v>соединение с древесиной</v>
      </c>
      <c r="Y425" s="187" t="str">
        <f ca="1">Sprache!$A$136</f>
        <v>nein</v>
      </c>
      <c r="Z425" s="187" t="str">
        <f ca="1">Sprache!$A$79</f>
        <v>Створка</v>
      </c>
      <c r="AA425" s="187">
        <v>550</v>
      </c>
      <c r="AB425" s="124">
        <v>599</v>
      </c>
      <c r="AC425" s="187"/>
      <c r="AD425" s="195">
        <v>1.6</v>
      </c>
      <c r="AE425" s="196">
        <v>4.5999999999999996</v>
      </c>
      <c r="AF425" s="263" t="str">
        <f>MID(Tabelle2[[#This Row],[bnr full]],1,4)</f>
        <v>F151</v>
      </c>
      <c r="AG425" s="264" t="str">
        <f>MID(Tabelle2[[#This Row],[bnr full]],5,3)</f>
        <v>147</v>
      </c>
      <c r="AH425" s="265" t="str">
        <f>MID(Tabelle2[[#This Row],[bnr full]],8,3)</f>
        <v>692</v>
      </c>
      <c r="AI425" s="264" t="str">
        <f>MID(Tabelle2[[#This Row],[bnr full]],11,3)</f>
        <v>201</v>
      </c>
      <c r="AJ425" s="252" t="str">
        <f>MID(Tabelle2[[#This Row],[bnr full]],11,3)</f>
        <v>201</v>
      </c>
      <c r="AK425" s="197" t="s">
        <v>799</v>
      </c>
      <c r="AL425" s="124" t="str">
        <f ca="1">Sprache!$A$111</f>
        <v>Комплект (Л + П)</v>
      </c>
      <c r="AM425" s="187" t="s">
        <v>25</v>
      </c>
      <c r="AN425" s="187" t="str">
        <f ca="1">Sprache!$A$128</f>
        <v>Пружина, оранжевая</v>
      </c>
      <c r="AO425" s="187" t="s">
        <v>25</v>
      </c>
      <c r="AP425" s="187" t="s">
        <v>25</v>
      </c>
      <c r="AQ425" s="187">
        <f>Limits!$K$9</f>
        <v>200</v>
      </c>
      <c r="AR425" s="124">
        <v>1200</v>
      </c>
      <c r="AS425" s="187"/>
      <c r="AT425" s="124"/>
      <c r="AV425"/>
      <c r="AX425" s="10"/>
      <c r="AY425" s="11"/>
      <c r="AZ425" s="2"/>
      <c r="BC425"/>
    </row>
    <row r="426" spans="1:55" hidden="1" x14ac:dyDescent="0.25">
      <c r="A426" s="12" t="str">
        <f ca="1">IF(F426+G426+H426+I426+J426+D426+E426=3,IF(Tabelle2[[#This Row],[Kappe Weiß]]=Limits!$R$29,1,""),"")</f>
        <v/>
      </c>
      <c r="B426" s="12" t="str">
        <f ca="1">IF(G426+H426+I426+J426+E426+F426=2,IF(Tabelle2[[#This Row],[Kappe Weiß]]=Limits!$R$29,1,""),"")</f>
        <v/>
      </c>
      <c r="C426" s="291">
        <v>0</v>
      </c>
      <c r="D426" s="171">
        <f>IF(Limits!$P$7=TRUE,1,0)</f>
        <v>0</v>
      </c>
      <c r="E426" s="172">
        <f>IF(Daten!$P426+Daten!$Q426+Daten!$S426=3,1,0)</f>
        <v>0</v>
      </c>
      <c r="F426" s="173">
        <f ca="1">IF(AND(Limits!$Q$21=TRUE,Daten!O426=1)=TRUE,1,0)</f>
        <v>0</v>
      </c>
      <c r="G426" s="174">
        <f>IF(AND(Limits!$Q$25=TRUE,Daten!N426=1)=TRUE,1,0)</f>
        <v>0</v>
      </c>
      <c r="H426" s="174">
        <f>IF(AND(Limits!$Q$24=TRUE,Daten!M426=1)=TRUE,1,0)</f>
        <v>0</v>
      </c>
      <c r="I426" s="174">
        <f>IF(AND(Limits!$Q$23=TRUE,Daten!L426=1)=TRUE,1,0)</f>
        <v>0</v>
      </c>
      <c r="J426" s="174">
        <f>IF(AND(Limits!$Q$22=TRUE,Daten!K426=1)=TRUE,1,0)</f>
        <v>0</v>
      </c>
      <c r="K426" s="188">
        <f>IF(Daten!$V426=13,1,0)</f>
        <v>1</v>
      </c>
      <c r="L426" s="189">
        <f>IF(Daten!$V426&lt;&gt;Daten!$W426,1,IF(Daten!$V426=14,1,0))</f>
        <v>0</v>
      </c>
      <c r="M426" s="189">
        <f>IF(Daten!$V426&lt;&gt;Daten!$W426,1,IF(Daten!$V426=16,1,0))</f>
        <v>0</v>
      </c>
      <c r="N426" s="189">
        <f>IF(Daten!$W426=17,1,0)</f>
        <v>0</v>
      </c>
      <c r="O426" s="190">
        <f ca="1">IF(Daten!$X426=Sprache!$A$70,1,0)</f>
        <v>0</v>
      </c>
      <c r="P426" s="191">
        <f>IF(AND(Daten!$AQ426&lt;=KINVARO!$AW$3,Daten!$AR426&gt;=KINVARO!$AW$3)=TRUE,1,0)</f>
        <v>1</v>
      </c>
      <c r="Q426" s="192">
        <f>IF(AND(Daten!$AA426&lt;=KINVARO!$AW$4,Daten!$AB426&gt;=KINVARO!$AW$4)=TRUE,1,0)</f>
        <v>0</v>
      </c>
      <c r="R426" s="192"/>
      <c r="S426" s="192">
        <f>IF(AND(Daten!$AD426&lt;=Limits!$I$70,Daten!$AE426&gt;=Limits!$I$70)=TRUE,1,0)</f>
        <v>0</v>
      </c>
      <c r="T426" s="193">
        <f ca="1">IF(Daten!$Y426=Sprache!$A$135,1,0)</f>
        <v>0</v>
      </c>
      <c r="U426" s="124" t="str">
        <f ca="1">Sprache!$A$67</f>
        <v>T-70 Поворотный подъемник</v>
      </c>
      <c r="V426" s="194">
        <v>13</v>
      </c>
      <c r="W426" s="193">
        <v>13</v>
      </c>
      <c r="X426" s="187" t="str">
        <f ca="1">Sprache!$A$141</f>
        <v>Alu</v>
      </c>
      <c r="Y426" s="187" t="str">
        <f ca="1">Sprache!$A$136</f>
        <v>nein</v>
      </c>
      <c r="Z426" s="187" t="str">
        <f ca="1">Sprache!$A$79</f>
        <v>Створка</v>
      </c>
      <c r="AA426" s="187">
        <v>550</v>
      </c>
      <c r="AB426" s="124">
        <v>599</v>
      </c>
      <c r="AC426" s="187"/>
      <c r="AD426" s="195">
        <v>1.4</v>
      </c>
      <c r="AE426" s="196">
        <v>3.7</v>
      </c>
      <c r="AF426" s="263" t="str">
        <f>MID(Tabelle2[[#This Row],[bnr full]],1,4)</f>
        <v>F151</v>
      </c>
      <c r="AG426" s="264" t="str">
        <f>MID(Tabelle2[[#This Row],[bnr full]],5,3)</f>
        <v>147</v>
      </c>
      <c r="AH426" s="265" t="str">
        <f>MID(Tabelle2[[#This Row],[bnr full]],8,3)</f>
        <v>688</v>
      </c>
      <c r="AI426" s="264" t="str">
        <f>MID(Tabelle2[[#This Row],[bnr full]],11,3)</f>
        <v>201</v>
      </c>
      <c r="AJ426" s="252" t="str">
        <f>MID(Tabelle2[[#This Row],[bnr full]],11,3)</f>
        <v>201</v>
      </c>
      <c r="AK426" s="197" t="s">
        <v>800</v>
      </c>
      <c r="AL426" s="124" t="str">
        <f ca="1">Sprache!$A$111</f>
        <v>Комплект (Л + П)</v>
      </c>
      <c r="AM426" s="187" t="s">
        <v>25</v>
      </c>
      <c r="AN426" s="187" t="str">
        <f ca="1">Sprache!$A$127</f>
        <v>Пружина, белая</v>
      </c>
      <c r="AO426" s="187" t="s">
        <v>25</v>
      </c>
      <c r="AP426" s="187" t="s">
        <v>25</v>
      </c>
      <c r="AQ426" s="187">
        <f>Limits!$K$9</f>
        <v>200</v>
      </c>
      <c r="AR426" s="124">
        <v>1200</v>
      </c>
      <c r="AS426" s="187"/>
      <c r="AT426" s="124"/>
      <c r="AV426"/>
      <c r="AX426" s="10"/>
      <c r="AY426" s="11"/>
      <c r="AZ426" s="2"/>
      <c r="BC426"/>
    </row>
    <row r="427" spans="1:55" hidden="1" x14ac:dyDescent="0.25">
      <c r="A427" s="12" t="str">
        <f ca="1">IF(F427+G427+H427+I427+J427+D427+E427=3,IF(Tabelle2[[#This Row],[Kappe Weiß]]=Limits!$R$29,1,""),"")</f>
        <v/>
      </c>
      <c r="B427" s="12" t="str">
        <f ca="1">IF(G427+H427+I427+J427+E427+F427=2,IF(Tabelle2[[#This Row],[Kappe Weiß]]=Limits!$R$29,1,""),"")</f>
        <v/>
      </c>
      <c r="C427" s="291">
        <v>0</v>
      </c>
      <c r="D427" s="171">
        <f>IF(Limits!$P$7=TRUE,1,0)</f>
        <v>0</v>
      </c>
      <c r="E427" s="172">
        <f>IF(Daten!$P427+Daten!$Q427+Daten!$S427=3,1,0)</f>
        <v>0</v>
      </c>
      <c r="F427" s="173">
        <f ca="1">IF(AND(Limits!$Q$21=TRUE,Daten!O427=1)=TRUE,1,0)</f>
        <v>0</v>
      </c>
      <c r="G427" s="174">
        <f>IF(AND(Limits!$Q$25=TRUE,Daten!N427=1)=TRUE,1,0)</f>
        <v>0</v>
      </c>
      <c r="H427" s="174">
        <f>IF(AND(Limits!$Q$24=TRUE,Daten!M427=1)=TRUE,1,0)</f>
        <v>0</v>
      </c>
      <c r="I427" s="174">
        <f>IF(AND(Limits!$Q$23=TRUE,Daten!L427=1)=TRUE,1,0)</f>
        <v>0</v>
      </c>
      <c r="J427" s="174">
        <f>IF(AND(Limits!$Q$22=TRUE,Daten!K427=1)=TRUE,1,0)</f>
        <v>0</v>
      </c>
      <c r="K427" s="188">
        <f>IF(Daten!$V427=13,1,0)</f>
        <v>1</v>
      </c>
      <c r="L427" s="189">
        <f>IF(Daten!$V427&lt;&gt;Daten!$W427,1,IF(Daten!$V427=14,1,0))</f>
        <v>0</v>
      </c>
      <c r="M427" s="189">
        <f>IF(Daten!$V427&lt;&gt;Daten!$W427,1,IF(Daten!$V427=16,1,0))</f>
        <v>0</v>
      </c>
      <c r="N427" s="189">
        <f>IF(Daten!$W427=17,1,0)</f>
        <v>0</v>
      </c>
      <c r="O427" s="190">
        <f ca="1">IF(Daten!$X427=Sprache!$A$70,1,0)</f>
        <v>0</v>
      </c>
      <c r="P427" s="191">
        <f>IF(AND(Daten!$AQ427&lt;=KINVARO!$AW$3,Daten!$AR427&gt;=KINVARO!$AW$3)=TRUE,1,0)</f>
        <v>1</v>
      </c>
      <c r="Q427" s="192">
        <f>IF(AND(Daten!$AA427&lt;=KINVARO!$AW$4,Daten!$AB427&gt;=KINVARO!$AW$4)=TRUE,1,0)</f>
        <v>0</v>
      </c>
      <c r="R427" s="192"/>
      <c r="S427" s="192">
        <f>IF(AND(Daten!$AD427&lt;=Limits!$I$70,Daten!$AE427&gt;=Limits!$I$70)=TRUE,1,0)</f>
        <v>0</v>
      </c>
      <c r="T427" s="193">
        <f ca="1">IF(Daten!$Y427=Sprache!$A$135,1,0)</f>
        <v>0</v>
      </c>
      <c r="U427" s="124" t="str">
        <f ca="1">Sprache!$A$67</f>
        <v>T-70 Поворотный подъемник</v>
      </c>
      <c r="V427" s="194">
        <v>13</v>
      </c>
      <c r="W427" s="193">
        <v>13</v>
      </c>
      <c r="X427" s="187" t="str">
        <f ca="1">Sprache!$A$141</f>
        <v>Alu</v>
      </c>
      <c r="Y427" s="187" t="str">
        <f ca="1">Sprache!$A$136</f>
        <v>nein</v>
      </c>
      <c r="Z427" s="187" t="str">
        <f ca="1">Sprache!$A$79</f>
        <v>Створка</v>
      </c>
      <c r="AA427" s="187">
        <v>550</v>
      </c>
      <c r="AB427" s="124">
        <v>599</v>
      </c>
      <c r="AC427" s="187"/>
      <c r="AD427" s="195">
        <v>1.6</v>
      </c>
      <c r="AE427" s="196">
        <v>4.5999999999999996</v>
      </c>
      <c r="AF427" s="263" t="str">
        <f>MID(Tabelle2[[#This Row],[bnr full]],1,4)</f>
        <v>F151</v>
      </c>
      <c r="AG427" s="264" t="str">
        <f>MID(Tabelle2[[#This Row],[bnr full]],5,3)</f>
        <v>147</v>
      </c>
      <c r="AH427" s="265" t="str">
        <f>MID(Tabelle2[[#This Row],[bnr full]],8,3)</f>
        <v>688</v>
      </c>
      <c r="AI427" s="264" t="str">
        <f>MID(Tabelle2[[#This Row],[bnr full]],11,3)</f>
        <v>201</v>
      </c>
      <c r="AJ427" s="252" t="str">
        <f>MID(Tabelle2[[#This Row],[bnr full]],11,3)</f>
        <v>201</v>
      </c>
      <c r="AK427" s="197" t="s">
        <v>800</v>
      </c>
      <c r="AL427" s="124" t="str">
        <f ca="1">Sprache!$A$111</f>
        <v>Комплект (Л + П)</v>
      </c>
      <c r="AM427" s="187" t="s">
        <v>25</v>
      </c>
      <c r="AN427" s="187" t="str">
        <f ca="1">Sprache!$A$128</f>
        <v>Пружина, оранжевая</v>
      </c>
      <c r="AO427" s="187" t="s">
        <v>25</v>
      </c>
      <c r="AP427" s="187" t="s">
        <v>25</v>
      </c>
      <c r="AQ427" s="187">
        <f>Limits!$K$9</f>
        <v>200</v>
      </c>
      <c r="AR427" s="124">
        <v>1200</v>
      </c>
      <c r="AS427" s="187"/>
      <c r="AT427" s="124"/>
      <c r="AV427"/>
      <c r="AX427" s="10"/>
      <c r="AY427" s="11"/>
      <c r="AZ427" s="2"/>
      <c r="BC427"/>
    </row>
    <row r="428" spans="1:55" hidden="1" x14ac:dyDescent="0.25">
      <c r="A428" s="12" t="str">
        <f ca="1">IF(F428+G428+H428+I428+J428+D428+E428=3,IF(Tabelle2[[#This Row],[Kappe Weiß]]=Limits!$R$29,1,""),"")</f>
        <v/>
      </c>
      <c r="B428" s="12" t="str">
        <f ca="1">IF(G428+H428+I428+J428+E428+F428=2,IF(Tabelle2[[#This Row],[Kappe Weiß]]=Limits!$R$29,1,""),"")</f>
        <v/>
      </c>
      <c r="C428" s="291">
        <v>0</v>
      </c>
      <c r="D428" s="171">
        <f>IF(Limits!$P$7=TRUE,1,0)</f>
        <v>0</v>
      </c>
      <c r="E428" s="172">
        <f>IF(Daten!$P428+Daten!$Q428+Daten!$S428=3,1,0)</f>
        <v>0</v>
      </c>
      <c r="F428" s="173">
        <f ca="1">IF(AND(Limits!$Q$21=TRUE,Daten!O428=1)=TRUE,1,0)</f>
        <v>0</v>
      </c>
      <c r="G428" s="174">
        <f>IF(AND(Limits!$Q$25=TRUE,Daten!N428=1)=TRUE,1,0)</f>
        <v>0</v>
      </c>
      <c r="H428" s="174">
        <f>IF(AND(Limits!$Q$24=TRUE,Daten!M428=1)=TRUE,1,0)</f>
        <v>0</v>
      </c>
      <c r="I428" s="174">
        <f>IF(AND(Limits!$Q$23=TRUE,Daten!L428=1)=TRUE,1,0)</f>
        <v>0</v>
      </c>
      <c r="J428" s="174">
        <f>IF(AND(Limits!$Q$22=TRUE,Daten!K428=1)=TRUE,1,0)</f>
        <v>0</v>
      </c>
      <c r="K428" s="188">
        <f>IF(Daten!$V428=13,1,0)</f>
        <v>0</v>
      </c>
      <c r="L428" s="189">
        <f>IF(Daten!$V428&lt;&gt;Daten!$W428,1,IF(Daten!$V428=14,1,0))</f>
        <v>1</v>
      </c>
      <c r="M428" s="189">
        <f>IF(Daten!$V428&lt;&gt;Daten!$W428,1,IF(Daten!$V428=16,1,0))</f>
        <v>0</v>
      </c>
      <c r="N428" s="189">
        <f>IF(Daten!$W428=17,1,0)</f>
        <v>0</v>
      </c>
      <c r="O428" s="190">
        <f ca="1">IF(Daten!$X428=Sprache!$A$70,1,0)</f>
        <v>0</v>
      </c>
      <c r="P428" s="191">
        <f>IF(AND(Daten!$AQ428&lt;=KINVARO!$AW$3,Daten!$AR428&gt;=KINVARO!$AW$3)=TRUE,1,0)</f>
        <v>1</v>
      </c>
      <c r="Q428" s="192">
        <f>IF(AND(Daten!$AA428&lt;=KINVARO!$AW$4,Daten!$AB428&gt;=KINVARO!$AW$4)=TRUE,1,0)</f>
        <v>0</v>
      </c>
      <c r="R428" s="192"/>
      <c r="S428" s="192">
        <f>IF(AND(Daten!$AD428&lt;=Limits!$I$70,Daten!$AE428&gt;=Limits!$I$70)=TRUE,1,0)</f>
        <v>0</v>
      </c>
      <c r="T428" s="193">
        <f ca="1">IF(Daten!$Y428=Sprache!$A$135,1,0)</f>
        <v>0</v>
      </c>
      <c r="U428" s="124" t="str">
        <f ca="1">Sprache!$A$67</f>
        <v>T-70 Поворотный подъемник</v>
      </c>
      <c r="V428" s="194">
        <v>14</v>
      </c>
      <c r="W428" s="193">
        <v>14</v>
      </c>
      <c r="X428" s="187" t="str">
        <f ca="1">Sprache!$A$141</f>
        <v>Alu</v>
      </c>
      <c r="Y428" s="187" t="str">
        <f ca="1">Sprache!$A$136</f>
        <v>nein</v>
      </c>
      <c r="Z428" s="187" t="str">
        <f ca="1">Sprache!$A$79</f>
        <v>Створка</v>
      </c>
      <c r="AA428" s="187">
        <v>550</v>
      </c>
      <c r="AB428" s="124">
        <v>599</v>
      </c>
      <c r="AC428" s="187"/>
      <c r="AD428" s="195">
        <v>1.4</v>
      </c>
      <c r="AE428" s="196">
        <v>3.7</v>
      </c>
      <c r="AF428" s="263" t="str">
        <f>MID(Tabelle2[[#This Row],[bnr full]],1,4)</f>
        <v>F151</v>
      </c>
      <c r="AG428" s="264" t="str">
        <f>MID(Tabelle2[[#This Row],[bnr full]],5,3)</f>
        <v>147</v>
      </c>
      <c r="AH428" s="265" t="str">
        <f>MID(Tabelle2[[#This Row],[bnr full]],8,3)</f>
        <v>689</v>
      </c>
      <c r="AI428" s="264" t="str">
        <f>MID(Tabelle2[[#This Row],[bnr full]],11,3)</f>
        <v>201</v>
      </c>
      <c r="AJ428" s="252" t="str">
        <f>MID(Tabelle2[[#This Row],[bnr full]],11,3)</f>
        <v>201</v>
      </c>
      <c r="AK428" s="197" t="s">
        <v>801</v>
      </c>
      <c r="AL428" s="124" t="str">
        <f ca="1">Sprache!$A$111</f>
        <v>Комплект (Л + П)</v>
      </c>
      <c r="AM428" s="187" t="s">
        <v>25</v>
      </c>
      <c r="AN428" s="187" t="str">
        <f ca="1">Sprache!$A$127</f>
        <v>Пружина, белая</v>
      </c>
      <c r="AO428" s="187" t="s">
        <v>25</v>
      </c>
      <c r="AP428" s="187" t="s">
        <v>25</v>
      </c>
      <c r="AQ428" s="187">
        <f>Limits!$K$9</f>
        <v>200</v>
      </c>
      <c r="AR428" s="124">
        <v>1200</v>
      </c>
      <c r="AS428" s="187"/>
      <c r="AT428" s="124"/>
      <c r="AV428"/>
      <c r="AX428" s="10"/>
      <c r="AY428" s="11"/>
      <c r="AZ428" s="2"/>
      <c r="BC428"/>
    </row>
    <row r="429" spans="1:55" hidden="1" x14ac:dyDescent="0.25">
      <c r="A429" s="12" t="str">
        <f ca="1">IF(F429+G429+H429+I429+J429+D429+E429=3,IF(Tabelle2[[#This Row],[Kappe Weiß]]=Limits!$R$29,1,""),"")</f>
        <v/>
      </c>
      <c r="B429" s="12" t="str">
        <f ca="1">IF(G429+H429+I429+J429+E429+F429=2,IF(Tabelle2[[#This Row],[Kappe Weiß]]=Limits!$R$29,1,""),"")</f>
        <v/>
      </c>
      <c r="C429" s="291">
        <v>0</v>
      </c>
      <c r="D429" s="171">
        <f>IF(Limits!$P$7=TRUE,1,0)</f>
        <v>0</v>
      </c>
      <c r="E429" s="172">
        <f>IF(Daten!$P429+Daten!$Q429+Daten!$S429=3,1,0)</f>
        <v>0</v>
      </c>
      <c r="F429" s="173">
        <f ca="1">IF(AND(Limits!$Q$21=TRUE,Daten!O429=1)=TRUE,1,0)</f>
        <v>0</v>
      </c>
      <c r="G429" s="174">
        <f>IF(AND(Limits!$Q$25=TRUE,Daten!N429=1)=TRUE,1,0)</f>
        <v>0</v>
      </c>
      <c r="H429" s="174">
        <f>IF(AND(Limits!$Q$24=TRUE,Daten!M429=1)=TRUE,1,0)</f>
        <v>0</v>
      </c>
      <c r="I429" s="174">
        <f>IF(AND(Limits!$Q$23=TRUE,Daten!L429=1)=TRUE,1,0)</f>
        <v>0</v>
      </c>
      <c r="J429" s="174">
        <f>IF(AND(Limits!$Q$22=TRUE,Daten!K429=1)=TRUE,1,0)</f>
        <v>0</v>
      </c>
      <c r="K429" s="188">
        <f>IF(Daten!$V429=13,1,0)</f>
        <v>0</v>
      </c>
      <c r="L429" s="189">
        <f>IF(Daten!$V429&lt;&gt;Daten!$W429,1,IF(Daten!$V429=14,1,0))</f>
        <v>1</v>
      </c>
      <c r="M429" s="189">
        <f>IF(Daten!$V429&lt;&gt;Daten!$W429,1,IF(Daten!$V429=16,1,0))</f>
        <v>0</v>
      </c>
      <c r="N429" s="189">
        <f>IF(Daten!$W429=17,1,0)</f>
        <v>0</v>
      </c>
      <c r="O429" s="190">
        <f ca="1">IF(Daten!$X429=Sprache!$A$70,1,0)</f>
        <v>0</v>
      </c>
      <c r="P429" s="191">
        <f>IF(AND(Daten!$AQ429&lt;=KINVARO!$AW$3,Daten!$AR429&gt;=KINVARO!$AW$3)=TRUE,1,0)</f>
        <v>1</v>
      </c>
      <c r="Q429" s="192">
        <f>IF(AND(Daten!$AA429&lt;=KINVARO!$AW$4,Daten!$AB429&gt;=KINVARO!$AW$4)=TRUE,1,0)</f>
        <v>0</v>
      </c>
      <c r="R429" s="192"/>
      <c r="S429" s="192">
        <f>IF(AND(Daten!$AD429&lt;=Limits!$I$70,Daten!$AE429&gt;=Limits!$I$70)=TRUE,1,0)</f>
        <v>0</v>
      </c>
      <c r="T429" s="193">
        <f ca="1">IF(Daten!$Y429=Sprache!$A$135,1,0)</f>
        <v>0</v>
      </c>
      <c r="U429" s="124" t="str">
        <f ca="1">Sprache!$A$67</f>
        <v>T-70 Поворотный подъемник</v>
      </c>
      <c r="V429" s="194">
        <v>14</v>
      </c>
      <c r="W429" s="193">
        <v>14</v>
      </c>
      <c r="X429" s="187" t="str">
        <f ca="1">Sprache!$A$141</f>
        <v>Alu</v>
      </c>
      <c r="Y429" s="187" t="str">
        <f ca="1">Sprache!$A$136</f>
        <v>nein</v>
      </c>
      <c r="Z429" s="187" t="str">
        <f ca="1">Sprache!$A$79</f>
        <v>Створка</v>
      </c>
      <c r="AA429" s="187">
        <v>550</v>
      </c>
      <c r="AB429" s="124">
        <v>599</v>
      </c>
      <c r="AC429" s="187"/>
      <c r="AD429" s="195">
        <v>1.6</v>
      </c>
      <c r="AE429" s="196">
        <v>4.5999999999999996</v>
      </c>
      <c r="AF429" s="263" t="str">
        <f>MID(Tabelle2[[#This Row],[bnr full]],1,4)</f>
        <v>F151</v>
      </c>
      <c r="AG429" s="264" t="str">
        <f>MID(Tabelle2[[#This Row],[bnr full]],5,3)</f>
        <v>147</v>
      </c>
      <c r="AH429" s="265" t="str">
        <f>MID(Tabelle2[[#This Row],[bnr full]],8,3)</f>
        <v>689</v>
      </c>
      <c r="AI429" s="264" t="str">
        <f>MID(Tabelle2[[#This Row],[bnr full]],11,3)</f>
        <v>201</v>
      </c>
      <c r="AJ429" s="252" t="str">
        <f>MID(Tabelle2[[#This Row],[bnr full]],11,3)</f>
        <v>201</v>
      </c>
      <c r="AK429" s="197" t="s">
        <v>801</v>
      </c>
      <c r="AL429" s="124" t="str">
        <f ca="1">Sprache!$A$111</f>
        <v>Комплект (Л + П)</v>
      </c>
      <c r="AM429" s="187" t="s">
        <v>25</v>
      </c>
      <c r="AN429" s="187" t="str">
        <f ca="1">Sprache!$A$128</f>
        <v>Пружина, оранжевая</v>
      </c>
      <c r="AO429" s="187" t="s">
        <v>25</v>
      </c>
      <c r="AP429" s="187" t="s">
        <v>25</v>
      </c>
      <c r="AQ429" s="187">
        <f>Limits!$K$9</f>
        <v>200</v>
      </c>
      <c r="AR429" s="124">
        <v>1200</v>
      </c>
      <c r="AS429" s="187"/>
      <c r="AT429" s="124"/>
      <c r="AV429"/>
      <c r="AX429" s="10"/>
      <c r="AY429" s="11"/>
      <c r="AZ429" s="2"/>
      <c r="BC429"/>
    </row>
    <row r="430" spans="1:55" hidden="1" x14ac:dyDescent="0.25">
      <c r="A430" s="12" t="str">
        <f ca="1">IF(F430+G430+H430+I430+J430+D430+E430=3,IF(Tabelle2[[#This Row],[Kappe Weiß]]=Limits!$R$29,1,""),"")</f>
        <v/>
      </c>
      <c r="B430" s="12" t="str">
        <f ca="1">IF(G430+H430+I430+J430+E430+F430=2,IF(Tabelle2[[#This Row],[Kappe Weiß]]=Limits!$R$29,1,""),"")</f>
        <v/>
      </c>
      <c r="C430" s="291">
        <v>0</v>
      </c>
      <c r="D430" s="171">
        <f>IF(Limits!$P$7=TRUE,1,0)</f>
        <v>0</v>
      </c>
      <c r="E430" s="172">
        <f>IF(Daten!$P430+Daten!$Q430+Daten!$S430=3,1,0)</f>
        <v>0</v>
      </c>
      <c r="F430" s="173">
        <f ca="1">IF(AND(Limits!$Q$21=TRUE,Daten!O430=1)=TRUE,1,0)</f>
        <v>0</v>
      </c>
      <c r="G430" s="174">
        <f>IF(AND(Limits!$Q$25=TRUE,Daten!N430=1)=TRUE,1,0)</f>
        <v>0</v>
      </c>
      <c r="H430" s="174">
        <f>IF(AND(Limits!$Q$24=TRUE,Daten!M430=1)=TRUE,1,0)</f>
        <v>0</v>
      </c>
      <c r="I430" s="174">
        <f>IF(AND(Limits!$Q$23=TRUE,Daten!L430=1)=TRUE,1,0)</f>
        <v>0</v>
      </c>
      <c r="J430" s="174">
        <f>IF(AND(Limits!$Q$22=TRUE,Daten!K430=1)=TRUE,1,0)</f>
        <v>0</v>
      </c>
      <c r="K430" s="188">
        <f>IF(Daten!$V430=13,1,0)</f>
        <v>0</v>
      </c>
      <c r="L430" s="189">
        <f>IF(Daten!$V430&lt;&gt;Daten!$W430,1,IF(Daten!$V430=14,1,0))</f>
        <v>0</v>
      </c>
      <c r="M430" s="189">
        <f>IF(Daten!$V430&lt;&gt;Daten!$W430,1,IF(Daten!$V430=16,1,0))</f>
        <v>1</v>
      </c>
      <c r="N430" s="189">
        <f>IF(Daten!$W430=17,1,0)</f>
        <v>0</v>
      </c>
      <c r="O430" s="190">
        <f ca="1">IF(Daten!$X430=Sprache!$A$70,1,0)</f>
        <v>0</v>
      </c>
      <c r="P430" s="191">
        <f>IF(AND(Daten!$AQ430&lt;=KINVARO!$AW$3,Daten!$AR430&gt;=KINVARO!$AW$3)=TRUE,1,0)</f>
        <v>1</v>
      </c>
      <c r="Q430" s="192">
        <f>IF(AND(Daten!$AA430&lt;=KINVARO!$AW$4,Daten!$AB430&gt;=KINVARO!$AW$4)=TRUE,1,0)</f>
        <v>0</v>
      </c>
      <c r="R430" s="192"/>
      <c r="S430" s="192">
        <f>IF(AND(Daten!$AD430&lt;=Limits!$I$70,Daten!$AE430&gt;=Limits!$I$70)=TRUE,1,0)</f>
        <v>0</v>
      </c>
      <c r="T430" s="193">
        <f ca="1">IF(Daten!$Y430=Sprache!$A$135,1,0)</f>
        <v>0</v>
      </c>
      <c r="U430" s="124" t="str">
        <f ca="1">Sprache!$A$67</f>
        <v>T-70 Поворотный подъемник</v>
      </c>
      <c r="V430" s="194">
        <v>16</v>
      </c>
      <c r="W430" s="193">
        <v>16</v>
      </c>
      <c r="X430" s="187" t="str">
        <f ca="1">Sprache!$A$141</f>
        <v>Alu</v>
      </c>
      <c r="Y430" s="187" t="str">
        <f ca="1">Sprache!$A$136</f>
        <v>nein</v>
      </c>
      <c r="Z430" s="187" t="str">
        <f ca="1">Sprache!$A$79</f>
        <v>Створка</v>
      </c>
      <c r="AA430" s="187">
        <v>550</v>
      </c>
      <c r="AB430" s="124">
        <v>599</v>
      </c>
      <c r="AC430" s="187"/>
      <c r="AD430" s="195">
        <v>1.4</v>
      </c>
      <c r="AE430" s="196">
        <v>3.7</v>
      </c>
      <c r="AF430" s="263" t="str">
        <f>MID(Tabelle2[[#This Row],[bnr full]],1,4)</f>
        <v>F151</v>
      </c>
      <c r="AG430" s="264" t="str">
        <f>MID(Tabelle2[[#This Row],[bnr full]],5,3)</f>
        <v>147</v>
      </c>
      <c r="AH430" s="265" t="str">
        <f>MID(Tabelle2[[#This Row],[bnr full]],8,3)</f>
        <v>690</v>
      </c>
      <c r="AI430" s="264" t="str">
        <f>MID(Tabelle2[[#This Row],[bnr full]],11,3)</f>
        <v>201</v>
      </c>
      <c r="AJ430" s="252" t="str">
        <f>MID(Tabelle2[[#This Row],[bnr full]],11,3)</f>
        <v>201</v>
      </c>
      <c r="AK430" s="197" t="s">
        <v>802</v>
      </c>
      <c r="AL430" s="124" t="str">
        <f ca="1">Sprache!$A$111</f>
        <v>Комплект (Л + П)</v>
      </c>
      <c r="AM430" s="187" t="s">
        <v>25</v>
      </c>
      <c r="AN430" s="187" t="str">
        <f ca="1">Sprache!$A$127</f>
        <v>Пружина, белая</v>
      </c>
      <c r="AO430" s="187" t="s">
        <v>25</v>
      </c>
      <c r="AP430" s="187" t="s">
        <v>25</v>
      </c>
      <c r="AQ430" s="187">
        <f>Limits!$K$9</f>
        <v>200</v>
      </c>
      <c r="AR430" s="124">
        <v>1200</v>
      </c>
      <c r="AS430" s="187"/>
      <c r="AT430" s="124"/>
      <c r="AV430"/>
      <c r="AX430" s="10"/>
      <c r="AY430" s="11"/>
      <c r="AZ430" s="2"/>
      <c r="BC430"/>
    </row>
    <row r="431" spans="1:55" hidden="1" x14ac:dyDescent="0.25">
      <c r="A431" s="12" t="str">
        <f ca="1">IF(F431+G431+H431+I431+J431+D431+E431=3,IF(Tabelle2[[#This Row],[Kappe Weiß]]=Limits!$R$29,1,""),"")</f>
        <v/>
      </c>
      <c r="B431" s="12" t="str">
        <f ca="1">IF(G431+H431+I431+J431+E431+F431=2,IF(Tabelle2[[#This Row],[Kappe Weiß]]=Limits!$R$29,1,""),"")</f>
        <v/>
      </c>
      <c r="C431" s="291">
        <v>0</v>
      </c>
      <c r="D431" s="171">
        <f>IF(Limits!$P$7=TRUE,1,0)</f>
        <v>0</v>
      </c>
      <c r="E431" s="172">
        <f>IF(Daten!$P431+Daten!$Q431+Daten!$S431=3,1,0)</f>
        <v>0</v>
      </c>
      <c r="F431" s="173">
        <f ca="1">IF(AND(Limits!$Q$21=TRUE,Daten!O431=1)=TRUE,1,0)</f>
        <v>0</v>
      </c>
      <c r="G431" s="174">
        <f>IF(AND(Limits!$Q$25=TRUE,Daten!N431=1)=TRUE,1,0)</f>
        <v>0</v>
      </c>
      <c r="H431" s="174">
        <f>IF(AND(Limits!$Q$24=TRUE,Daten!M431=1)=TRUE,1,0)</f>
        <v>0</v>
      </c>
      <c r="I431" s="174">
        <f>IF(AND(Limits!$Q$23=TRUE,Daten!L431=1)=TRUE,1,0)</f>
        <v>0</v>
      </c>
      <c r="J431" s="174">
        <f>IF(AND(Limits!$Q$22=TRUE,Daten!K431=1)=TRUE,1,0)</f>
        <v>0</v>
      </c>
      <c r="K431" s="188">
        <f>IF(Daten!$V431=13,1,0)</f>
        <v>0</v>
      </c>
      <c r="L431" s="189">
        <f>IF(Daten!$V431&lt;&gt;Daten!$W431,1,IF(Daten!$V431=14,1,0))</f>
        <v>0</v>
      </c>
      <c r="M431" s="189">
        <f>IF(Daten!$V431&lt;&gt;Daten!$W431,1,IF(Daten!$V431=16,1,0))</f>
        <v>1</v>
      </c>
      <c r="N431" s="189">
        <f>IF(Daten!$W431=17,1,0)</f>
        <v>0</v>
      </c>
      <c r="O431" s="190">
        <f ca="1">IF(Daten!$X431=Sprache!$A$70,1,0)</f>
        <v>0</v>
      </c>
      <c r="P431" s="191">
        <f>IF(AND(Daten!$AQ431&lt;=KINVARO!$AW$3,Daten!$AR431&gt;=KINVARO!$AW$3)=TRUE,1,0)</f>
        <v>1</v>
      </c>
      <c r="Q431" s="192">
        <f>IF(AND(Daten!$AA431&lt;=KINVARO!$AW$4,Daten!$AB431&gt;=KINVARO!$AW$4)=TRUE,1,0)</f>
        <v>0</v>
      </c>
      <c r="R431" s="192"/>
      <c r="S431" s="192">
        <f>IF(AND(Daten!$AD431&lt;=Limits!$I$70,Daten!$AE431&gt;=Limits!$I$70)=TRUE,1,0)</f>
        <v>0</v>
      </c>
      <c r="T431" s="193">
        <f ca="1">IF(Daten!$Y431=Sprache!$A$135,1,0)</f>
        <v>0</v>
      </c>
      <c r="U431" s="124" t="str">
        <f ca="1">Sprache!$A$67</f>
        <v>T-70 Поворотный подъемник</v>
      </c>
      <c r="V431" s="194">
        <v>16</v>
      </c>
      <c r="W431" s="193">
        <v>16</v>
      </c>
      <c r="X431" s="187" t="str">
        <f ca="1">Sprache!$A$141</f>
        <v>Alu</v>
      </c>
      <c r="Y431" s="187" t="str">
        <f ca="1">Sprache!$A$136</f>
        <v>nein</v>
      </c>
      <c r="Z431" s="187" t="str">
        <f ca="1">Sprache!$A$79</f>
        <v>Створка</v>
      </c>
      <c r="AA431" s="187">
        <v>550</v>
      </c>
      <c r="AB431" s="124">
        <v>599</v>
      </c>
      <c r="AC431" s="187"/>
      <c r="AD431" s="195">
        <v>1.6</v>
      </c>
      <c r="AE431" s="196">
        <v>4.5999999999999996</v>
      </c>
      <c r="AF431" s="263" t="str">
        <f>MID(Tabelle2[[#This Row],[bnr full]],1,4)</f>
        <v>F151</v>
      </c>
      <c r="AG431" s="264" t="str">
        <f>MID(Tabelle2[[#This Row],[bnr full]],5,3)</f>
        <v>147</v>
      </c>
      <c r="AH431" s="265" t="str">
        <f>MID(Tabelle2[[#This Row],[bnr full]],8,3)</f>
        <v>690</v>
      </c>
      <c r="AI431" s="264" t="str">
        <f>MID(Tabelle2[[#This Row],[bnr full]],11,3)</f>
        <v>201</v>
      </c>
      <c r="AJ431" s="252" t="str">
        <f>MID(Tabelle2[[#This Row],[bnr full]],11,3)</f>
        <v>201</v>
      </c>
      <c r="AK431" s="197" t="s">
        <v>802</v>
      </c>
      <c r="AL431" s="124" t="str">
        <f ca="1">Sprache!$A$111</f>
        <v>Комплект (Л + П)</v>
      </c>
      <c r="AM431" s="187" t="s">
        <v>25</v>
      </c>
      <c r="AN431" s="187" t="str">
        <f ca="1">Sprache!$A$128</f>
        <v>Пружина, оранжевая</v>
      </c>
      <c r="AO431" s="187" t="s">
        <v>25</v>
      </c>
      <c r="AP431" s="187" t="s">
        <v>25</v>
      </c>
      <c r="AQ431" s="187">
        <f>Limits!$K$9</f>
        <v>200</v>
      </c>
      <c r="AR431" s="124">
        <v>1200</v>
      </c>
      <c r="AS431" s="187"/>
      <c r="AT431" s="124"/>
      <c r="AV431"/>
      <c r="AX431" s="10"/>
      <c r="AY431" s="11"/>
      <c r="AZ431" s="2"/>
      <c r="BC431"/>
    </row>
    <row r="432" spans="1:55" hidden="1" x14ac:dyDescent="0.25">
      <c r="A432" s="12" t="str">
        <f ca="1">IF(F432+G432+H432+I432+J432+D432+E432=3,IF(Tabelle2[[#This Row],[Kappe Weiß]]=Limits!$R$29,1,""),"")</f>
        <v/>
      </c>
      <c r="B432" s="12" t="str">
        <f ca="1">IF(G432+H432+I432+J432+E432+F432=2,IF(Tabelle2[[#This Row],[Kappe Weiß]]=Limits!$R$29,1,""),"")</f>
        <v/>
      </c>
      <c r="C432" s="291">
        <v>0</v>
      </c>
      <c r="D432" s="171">
        <f>IF(Limits!$P$7=TRUE,1,0)</f>
        <v>0</v>
      </c>
      <c r="E432" s="172">
        <f>IF(Daten!$P432+Daten!$Q432+Daten!$S432=3,1,0)</f>
        <v>0</v>
      </c>
      <c r="F432" s="173">
        <f ca="1">IF(AND(Limits!$Q$21=TRUE,Daten!O432=1)=TRUE,1,0)</f>
        <v>0</v>
      </c>
      <c r="G432" s="174">
        <f>IF(AND(Limits!$Q$25=TRUE,Daten!N432=1)=TRUE,1,0)</f>
        <v>0</v>
      </c>
      <c r="H432" s="174">
        <f>IF(AND(Limits!$Q$24=TRUE,Daten!M432=1)=TRUE,1,0)</f>
        <v>0</v>
      </c>
      <c r="I432" s="174">
        <f>IF(AND(Limits!$Q$23=TRUE,Daten!L432=1)=TRUE,1,0)</f>
        <v>0</v>
      </c>
      <c r="J432" s="174">
        <f>IF(AND(Limits!$Q$22=TRUE,Daten!K432=1)=TRUE,1,0)</f>
        <v>0</v>
      </c>
      <c r="K432" s="188">
        <f>IF(Daten!$V432=13,1,0)</f>
        <v>0</v>
      </c>
      <c r="L432" s="189">
        <f>IF(Daten!$V432&lt;&gt;Daten!$W432,1,IF(Daten!$V432=14,1,0))</f>
        <v>0</v>
      </c>
      <c r="M432" s="189">
        <f>IF(Daten!$V432&lt;&gt;Daten!$W432,1,IF(Daten!$V432=16,1,0))</f>
        <v>0</v>
      </c>
      <c r="N432" s="189">
        <f>IF(Daten!$W432=17,1,0)</f>
        <v>1</v>
      </c>
      <c r="O432" s="190">
        <f ca="1">IF(Daten!$X432=Sprache!$A$70,1,0)</f>
        <v>0</v>
      </c>
      <c r="P432" s="191">
        <f>IF(AND(Daten!$AQ432&lt;=KINVARO!$AW$3,Daten!$AR432&gt;=KINVARO!$AW$3)=TRUE,1,0)</f>
        <v>1</v>
      </c>
      <c r="Q432" s="192">
        <f>IF(AND(Daten!$AA432&lt;=KINVARO!$AW$4,Daten!$AB432&gt;=KINVARO!$AW$4)=TRUE,1,0)</f>
        <v>0</v>
      </c>
      <c r="R432" s="192"/>
      <c r="S432" s="192">
        <f>IF(AND(Daten!$AD432&lt;=Limits!$I$70,Daten!$AE432&gt;=Limits!$I$70)=TRUE,1,0)</f>
        <v>0</v>
      </c>
      <c r="T432" s="193">
        <f ca="1">IF(Daten!$Y432=Sprache!$A$135,1,0)</f>
        <v>0</v>
      </c>
      <c r="U432" s="124" t="str">
        <f ca="1">Sprache!$A$67</f>
        <v>T-70 Поворотный подъемник</v>
      </c>
      <c r="V432" s="194">
        <v>17</v>
      </c>
      <c r="W432" s="193">
        <v>17</v>
      </c>
      <c r="X432" s="187" t="str">
        <f ca="1">Sprache!$A$141</f>
        <v>Alu</v>
      </c>
      <c r="Y432" s="187" t="str">
        <f ca="1">Sprache!$A$136</f>
        <v>nein</v>
      </c>
      <c r="Z432" s="187" t="str">
        <f ca="1">Sprache!$A$79</f>
        <v>Створка</v>
      </c>
      <c r="AA432" s="187">
        <v>550</v>
      </c>
      <c r="AB432" s="124">
        <v>599</v>
      </c>
      <c r="AC432" s="187"/>
      <c r="AD432" s="195">
        <v>1.4</v>
      </c>
      <c r="AE432" s="196">
        <v>3.7</v>
      </c>
      <c r="AF432" s="263" t="str">
        <f>MID(Tabelle2[[#This Row],[bnr full]],1,4)</f>
        <v>F151</v>
      </c>
      <c r="AG432" s="264" t="str">
        <f>MID(Tabelle2[[#This Row],[bnr full]],5,3)</f>
        <v>147</v>
      </c>
      <c r="AH432" s="265" t="str">
        <f>MID(Tabelle2[[#This Row],[bnr full]],8,3)</f>
        <v>691</v>
      </c>
      <c r="AI432" s="264" t="str">
        <f>MID(Tabelle2[[#This Row],[bnr full]],11,3)</f>
        <v>201</v>
      </c>
      <c r="AJ432" s="252" t="str">
        <f>MID(Tabelle2[[#This Row],[bnr full]],11,3)</f>
        <v>201</v>
      </c>
      <c r="AK432" s="197" t="s">
        <v>803</v>
      </c>
      <c r="AL432" s="124" t="str">
        <f ca="1">Sprache!$A$111</f>
        <v>Комплект (Л + П)</v>
      </c>
      <c r="AM432" s="187" t="s">
        <v>25</v>
      </c>
      <c r="AN432" s="187" t="str">
        <f ca="1">Sprache!$A$127</f>
        <v>Пружина, белая</v>
      </c>
      <c r="AO432" s="187" t="s">
        <v>25</v>
      </c>
      <c r="AP432" s="187" t="s">
        <v>25</v>
      </c>
      <c r="AQ432" s="187">
        <f>Limits!$K$9</f>
        <v>200</v>
      </c>
      <c r="AR432" s="124">
        <v>1200</v>
      </c>
      <c r="AS432" s="187"/>
      <c r="AT432" s="124"/>
      <c r="AV432"/>
      <c r="AX432" s="10"/>
      <c r="AY432" s="11"/>
      <c r="AZ432" s="2"/>
      <c r="BC432"/>
    </row>
    <row r="433" spans="1:55" hidden="1" x14ac:dyDescent="0.25">
      <c r="A433" s="12" t="str">
        <f ca="1">IF(F433+G433+H433+I433+J433+D433+E433=3,IF(Tabelle2[[#This Row],[Kappe Weiß]]=Limits!$R$29,1,""),"")</f>
        <v/>
      </c>
      <c r="B433" s="12" t="str">
        <f ca="1">IF(G433+H433+I433+J433+E433+F433=2,IF(Tabelle2[[#This Row],[Kappe Weiß]]=Limits!$R$29,1,""),"")</f>
        <v/>
      </c>
      <c r="C433" s="291">
        <v>0</v>
      </c>
      <c r="D433" s="171">
        <f>IF(Limits!$P$7=TRUE,1,0)</f>
        <v>0</v>
      </c>
      <c r="E433" s="172">
        <f>IF(Daten!$P433+Daten!$Q433+Daten!$S433=3,1,0)</f>
        <v>0</v>
      </c>
      <c r="F433" s="173">
        <f ca="1">IF(AND(Limits!$Q$21=TRUE,Daten!O433=1)=TRUE,1,0)</f>
        <v>0</v>
      </c>
      <c r="G433" s="174">
        <f>IF(AND(Limits!$Q$25=TRUE,Daten!N433=1)=TRUE,1,0)</f>
        <v>0</v>
      </c>
      <c r="H433" s="174">
        <f>IF(AND(Limits!$Q$24=TRUE,Daten!M433=1)=TRUE,1,0)</f>
        <v>0</v>
      </c>
      <c r="I433" s="174">
        <f>IF(AND(Limits!$Q$23=TRUE,Daten!L433=1)=TRUE,1,0)</f>
        <v>0</v>
      </c>
      <c r="J433" s="174">
        <f>IF(AND(Limits!$Q$22=TRUE,Daten!K433=1)=TRUE,1,0)</f>
        <v>0</v>
      </c>
      <c r="K433" s="188">
        <f>IF(Daten!$V433=13,1,0)</f>
        <v>0</v>
      </c>
      <c r="L433" s="189">
        <f>IF(Daten!$V433&lt;&gt;Daten!$W433,1,IF(Daten!$V433=14,1,0))</f>
        <v>0</v>
      </c>
      <c r="M433" s="189">
        <f>IF(Daten!$V433&lt;&gt;Daten!$W433,1,IF(Daten!$V433=16,1,0))</f>
        <v>0</v>
      </c>
      <c r="N433" s="189">
        <f>IF(Daten!$W433=17,1,0)</f>
        <v>1</v>
      </c>
      <c r="O433" s="190">
        <f ca="1">IF(Daten!$X433=Sprache!$A$70,1,0)</f>
        <v>0</v>
      </c>
      <c r="P433" s="191">
        <f>IF(AND(Daten!$AQ433&lt;=KINVARO!$AW$3,Daten!$AR433&gt;=KINVARO!$AW$3)=TRUE,1,0)</f>
        <v>1</v>
      </c>
      <c r="Q433" s="192">
        <f>IF(AND(Daten!$AA433&lt;=KINVARO!$AW$4,Daten!$AB433&gt;=KINVARO!$AW$4)=TRUE,1,0)</f>
        <v>0</v>
      </c>
      <c r="R433" s="192"/>
      <c r="S433" s="192">
        <f>IF(AND(Daten!$AD433&lt;=Limits!$I$70,Daten!$AE433&gt;=Limits!$I$70)=TRUE,1,0)</f>
        <v>0</v>
      </c>
      <c r="T433" s="193">
        <f ca="1">IF(Daten!$Y433=Sprache!$A$135,1,0)</f>
        <v>0</v>
      </c>
      <c r="U433" s="124" t="str">
        <f ca="1">Sprache!$A$67</f>
        <v>T-70 Поворотный подъемник</v>
      </c>
      <c r="V433" s="194">
        <v>17</v>
      </c>
      <c r="W433" s="193">
        <v>17</v>
      </c>
      <c r="X433" s="187" t="str">
        <f ca="1">Sprache!$A$141</f>
        <v>Alu</v>
      </c>
      <c r="Y433" s="187" t="str">
        <f ca="1">Sprache!$A$136</f>
        <v>nein</v>
      </c>
      <c r="Z433" s="187" t="str">
        <f ca="1">Sprache!$A$79</f>
        <v>Створка</v>
      </c>
      <c r="AA433" s="187">
        <v>550</v>
      </c>
      <c r="AB433" s="124">
        <v>599</v>
      </c>
      <c r="AC433" s="187"/>
      <c r="AD433" s="195">
        <v>1.6</v>
      </c>
      <c r="AE433" s="196">
        <v>4.5999999999999996</v>
      </c>
      <c r="AF433" s="263" t="str">
        <f>MID(Tabelle2[[#This Row],[bnr full]],1,4)</f>
        <v>F151</v>
      </c>
      <c r="AG433" s="264" t="str">
        <f>MID(Tabelle2[[#This Row],[bnr full]],5,3)</f>
        <v>147</v>
      </c>
      <c r="AH433" s="265" t="str">
        <f>MID(Tabelle2[[#This Row],[bnr full]],8,3)</f>
        <v>691</v>
      </c>
      <c r="AI433" s="264" t="str">
        <f>MID(Tabelle2[[#This Row],[bnr full]],11,3)</f>
        <v>201</v>
      </c>
      <c r="AJ433" s="252" t="str">
        <f>MID(Tabelle2[[#This Row],[bnr full]],11,3)</f>
        <v>201</v>
      </c>
      <c r="AK433" s="197" t="s">
        <v>803</v>
      </c>
      <c r="AL433" s="124" t="str">
        <f ca="1">Sprache!$A$111</f>
        <v>Комплект (Л + П)</v>
      </c>
      <c r="AM433" s="187" t="s">
        <v>25</v>
      </c>
      <c r="AN433" s="187" t="str">
        <f ca="1">Sprache!$A$128</f>
        <v>Пружина, оранжевая</v>
      </c>
      <c r="AO433" s="187" t="s">
        <v>25</v>
      </c>
      <c r="AP433" s="187" t="s">
        <v>25</v>
      </c>
      <c r="AQ433" s="187">
        <f>Limits!$K$9</f>
        <v>200</v>
      </c>
      <c r="AR433" s="124">
        <v>1200</v>
      </c>
      <c r="AS433" s="187"/>
      <c r="AT433" s="124"/>
      <c r="AV433"/>
      <c r="AX433" s="10"/>
      <c r="AY433" s="11"/>
      <c r="AZ433" s="2"/>
      <c r="BC433"/>
    </row>
    <row r="434" spans="1:55" hidden="1" x14ac:dyDescent="0.25">
      <c r="A434" s="12" t="str">
        <f ca="1">IF(F434+G434+H434+I434+J434+D434+E434=3,IF(Tabelle2[[#This Row],[Kappe Weiß]]=Limits!$R$29,1,""),"")</f>
        <v/>
      </c>
      <c r="B434" s="12" t="str">
        <f ca="1">IF(G434+H434+I434+J434+E434+F434=2,IF(Tabelle2[[#This Row],[Kappe Weiß]]=Limits!$R$29,1,""),"")</f>
        <v/>
      </c>
      <c r="C434" s="292">
        <v>0</v>
      </c>
      <c r="D434" s="171">
        <f>IF(Limits!$P$7=TRUE,1,0)</f>
        <v>0</v>
      </c>
      <c r="E434" s="172">
        <f>IF(Daten!$P434+Daten!$Q434+Daten!$S434=3,1,0)</f>
        <v>0</v>
      </c>
      <c r="F434" s="173">
        <f ca="1">IF(AND(Limits!$Q$21=TRUE,Daten!O434=1)=TRUE,1,0)</f>
        <v>1</v>
      </c>
      <c r="G434" s="174">
        <f ca="1">IF(AND(Limits!$Q$25=TRUE,Daten!N434=1)=TRUE,1,0)</f>
        <v>0</v>
      </c>
      <c r="H434" s="174">
        <f ca="1">IF(AND(Limits!$Q$24=TRUE,Daten!M434=1)=TRUE,1,0)</f>
        <v>0</v>
      </c>
      <c r="I434" s="174">
        <f ca="1">IF(AND(Limits!$Q$23=TRUE,Daten!L434=1)=TRUE,1,0)</f>
        <v>0</v>
      </c>
      <c r="J434" s="174">
        <f ca="1">IF(AND(Limits!$Q$22=TRUE,Daten!K434=1)=TRUE,1,0)</f>
        <v>0</v>
      </c>
      <c r="K434" s="188">
        <f ca="1">IF(Daten!$V434=13,1,0)</f>
        <v>0</v>
      </c>
      <c r="L434" s="189">
        <f ca="1">IF(Daten!$V434&lt;&gt;Daten!$W434,1,IF(Daten!$V434=14,1,0))</f>
        <v>0</v>
      </c>
      <c r="M434" s="189">
        <f ca="1">IF(Daten!$V434&lt;&gt;Daten!$W434,1,IF(Daten!$V434=16,1,0))</f>
        <v>0</v>
      </c>
      <c r="N434" s="189">
        <f ca="1">IF(Daten!$W434=17,1,0)</f>
        <v>0</v>
      </c>
      <c r="O434" s="190">
        <f ca="1">IF(Daten!$X434=Sprache!$A$70,1,0)</f>
        <v>1</v>
      </c>
      <c r="P434" s="198">
        <f>IF(AND(Daten!$AQ434&lt;=KINVARO!$AW$3,Daten!$AR434&gt;=KINVARO!$AW$3)=TRUE,1,0)</f>
        <v>1</v>
      </c>
      <c r="Q434" s="199">
        <f>IF(AND(Daten!$AA434&lt;=KINVARO!$AW$4,Daten!$AB434&gt;=KINVARO!$AW$4)=TRUE,1,0)</f>
        <v>0</v>
      </c>
      <c r="R434" s="199"/>
      <c r="S434" s="199">
        <f>IF(AND(Daten!$AD434&lt;=Limits!$I$70,Daten!$AE434&gt;=Limits!$I$70)=TRUE,1,0)</f>
        <v>0</v>
      </c>
      <c r="T434" s="200">
        <f ca="1">IF(Daten!$Y434=Sprache!$A$135,1,0)</f>
        <v>0</v>
      </c>
      <c r="U434" s="201" t="str">
        <f ca="1">Sprache!$A$67</f>
        <v>T-70 Поворотный подъемник</v>
      </c>
      <c r="V434" s="202" t="str">
        <f ca="1">Sprache!$A$74</f>
        <v>var</v>
      </c>
      <c r="W434" s="200" t="str">
        <f ca="1">Sprache!$A$74</f>
        <v>var</v>
      </c>
      <c r="X434" s="203" t="str">
        <f ca="1">Sprache!$A$70</f>
        <v>соединение с древесиной</v>
      </c>
      <c r="Y434" s="187" t="str">
        <f ca="1">Sprache!$A$136</f>
        <v>nein</v>
      </c>
      <c r="Z434" s="203" t="str">
        <f ca="1">Sprache!$A$79</f>
        <v>Створка</v>
      </c>
      <c r="AA434" s="203">
        <v>600</v>
      </c>
      <c r="AB434" s="201">
        <v>600</v>
      </c>
      <c r="AC434" s="203"/>
      <c r="AD434" s="204">
        <v>1.4</v>
      </c>
      <c r="AE434" s="205">
        <v>3.3</v>
      </c>
      <c r="AF434" s="266" t="str">
        <f>MID(Tabelle2[[#This Row],[bnr full]],1,4)</f>
        <v>F151</v>
      </c>
      <c r="AG434" s="267" t="str">
        <f>MID(Tabelle2[[#This Row],[bnr full]],5,3)</f>
        <v>147</v>
      </c>
      <c r="AH434" s="268" t="str">
        <f>MID(Tabelle2[[#This Row],[bnr full]],8,3)</f>
        <v>692</v>
      </c>
      <c r="AI434" s="267" t="str">
        <f>MID(Tabelle2[[#This Row],[bnr full]],11,3)</f>
        <v>201</v>
      </c>
      <c r="AJ434" s="253" t="str">
        <f>MID(Tabelle2[[#This Row],[bnr full]],11,3)</f>
        <v>201</v>
      </c>
      <c r="AK434" s="206" t="s">
        <v>799</v>
      </c>
      <c r="AL434" s="201" t="str">
        <f ca="1">Sprache!$A$111</f>
        <v>Комплект (Л + П)</v>
      </c>
      <c r="AM434" s="203" t="s">
        <v>25</v>
      </c>
      <c r="AN434" s="203" t="str">
        <f ca="1">Sprache!$A$127</f>
        <v>Пружина, белая</v>
      </c>
      <c r="AO434" s="187" t="s">
        <v>25</v>
      </c>
      <c r="AP434" s="187" t="s">
        <v>25</v>
      </c>
      <c r="AQ434" s="203">
        <f>Limits!$K$9</f>
        <v>200</v>
      </c>
      <c r="AR434" s="201">
        <v>1200</v>
      </c>
      <c r="AS434" s="187"/>
      <c r="AT434" s="124"/>
      <c r="AV434"/>
      <c r="AX434" s="10"/>
      <c r="AY434" s="11"/>
      <c r="AZ434" s="2"/>
      <c r="BC434"/>
    </row>
    <row r="435" spans="1:55" hidden="1" x14ac:dyDescent="0.25">
      <c r="A435" s="12" t="str">
        <f ca="1">IF(F435+G435+H435+I435+J435+D435+E435=3,IF(Tabelle2[[#This Row],[Kappe Weiß]]=Limits!$R$29,1,""),"")</f>
        <v/>
      </c>
      <c r="B435" s="12" t="str">
        <f ca="1">IF(G435+H435+I435+J435+E435+F435=2,IF(Tabelle2[[#This Row],[Kappe Weiß]]=Limits!$R$29,1,""),"")</f>
        <v/>
      </c>
      <c r="C435" s="291">
        <v>0</v>
      </c>
      <c r="D435" s="171">
        <f>IF(Limits!$P$7=TRUE,1,0)</f>
        <v>0</v>
      </c>
      <c r="E435" s="172">
        <f>IF(Daten!$P435+Daten!$Q435+Daten!$S435=3,1,0)</f>
        <v>0</v>
      </c>
      <c r="F435" s="173">
        <f ca="1">IF(AND(Limits!$Q$21=TRUE,Daten!O435=1)=TRUE,1,0)</f>
        <v>1</v>
      </c>
      <c r="G435" s="174">
        <f ca="1">IF(AND(Limits!$Q$25=TRUE,Daten!N435=1)=TRUE,1,0)</f>
        <v>0</v>
      </c>
      <c r="H435" s="174">
        <f ca="1">IF(AND(Limits!$Q$24=TRUE,Daten!M435=1)=TRUE,1,0)</f>
        <v>0</v>
      </c>
      <c r="I435" s="174">
        <f ca="1">IF(AND(Limits!$Q$23=TRUE,Daten!L435=1)=TRUE,1,0)</f>
        <v>0</v>
      </c>
      <c r="J435" s="174">
        <f ca="1">IF(AND(Limits!$Q$22=TRUE,Daten!K435=1)=TRUE,1,0)</f>
        <v>0</v>
      </c>
      <c r="K435" s="188">
        <f ca="1">IF(Daten!$V435=13,1,0)</f>
        <v>0</v>
      </c>
      <c r="L435" s="189">
        <f ca="1">IF(Daten!$V435&lt;&gt;Daten!$W435,1,IF(Daten!$V435=14,1,0))</f>
        <v>0</v>
      </c>
      <c r="M435" s="189">
        <f ca="1">IF(Daten!$V435&lt;&gt;Daten!$W435,1,IF(Daten!$V435=16,1,0))</f>
        <v>0</v>
      </c>
      <c r="N435" s="189">
        <f ca="1">IF(Daten!$W435=17,1,0)</f>
        <v>0</v>
      </c>
      <c r="O435" s="190">
        <f ca="1">IF(Daten!$X435=Sprache!$A$70,1,0)</f>
        <v>1</v>
      </c>
      <c r="P435" s="191">
        <f>IF(AND(Daten!$AQ435&lt;=KINVARO!$AW$3,Daten!$AR435&gt;=KINVARO!$AW$3)=TRUE,1,0)</f>
        <v>1</v>
      </c>
      <c r="Q435" s="192">
        <f>IF(AND(Daten!$AA435&lt;=KINVARO!$AW$4,Daten!$AB435&gt;=KINVARO!$AW$4)=TRUE,1,0)</f>
        <v>0</v>
      </c>
      <c r="R435" s="192"/>
      <c r="S435" s="192">
        <f>IF(AND(Daten!$AD435&lt;=Limits!$I$70,Daten!$AE435&gt;=Limits!$I$70)=TRUE,1,0)</f>
        <v>0</v>
      </c>
      <c r="T435" s="193">
        <f ca="1">IF(Daten!$Y435=Sprache!$A$135,1,0)</f>
        <v>0</v>
      </c>
      <c r="U435" s="124" t="str">
        <f ca="1">Sprache!$A$67</f>
        <v>T-70 Поворотный подъемник</v>
      </c>
      <c r="V435" s="194" t="str">
        <f ca="1">Sprache!$A$74</f>
        <v>var</v>
      </c>
      <c r="W435" s="193" t="str">
        <f ca="1">Sprache!$A$74</f>
        <v>var</v>
      </c>
      <c r="X435" s="187" t="str">
        <f ca="1">Sprache!$A$70</f>
        <v>соединение с древесиной</v>
      </c>
      <c r="Y435" s="187" t="str">
        <f ca="1">Sprache!$A$136</f>
        <v>nein</v>
      </c>
      <c r="Z435" s="187" t="str">
        <f ca="1">Sprache!$A$79</f>
        <v>Створка</v>
      </c>
      <c r="AA435" s="187">
        <v>600</v>
      </c>
      <c r="AB435" s="124">
        <v>600</v>
      </c>
      <c r="AC435" s="187"/>
      <c r="AD435" s="195">
        <v>1.4</v>
      </c>
      <c r="AE435" s="196">
        <v>4.2</v>
      </c>
      <c r="AF435" s="263" t="str">
        <f>MID(Tabelle2[[#This Row],[bnr full]],1,4)</f>
        <v>F151</v>
      </c>
      <c r="AG435" s="264" t="str">
        <f>MID(Tabelle2[[#This Row],[bnr full]],5,3)</f>
        <v>147</v>
      </c>
      <c r="AH435" s="265" t="str">
        <f>MID(Tabelle2[[#This Row],[bnr full]],8,3)</f>
        <v>692</v>
      </c>
      <c r="AI435" s="264" t="str">
        <f>MID(Tabelle2[[#This Row],[bnr full]],11,3)</f>
        <v>201</v>
      </c>
      <c r="AJ435" s="252" t="str">
        <f>MID(Tabelle2[[#This Row],[bnr full]],11,3)</f>
        <v>201</v>
      </c>
      <c r="AK435" s="197" t="s">
        <v>799</v>
      </c>
      <c r="AL435" s="124" t="str">
        <f ca="1">Sprache!$A$111</f>
        <v>Комплект (Л + П)</v>
      </c>
      <c r="AM435" s="187" t="s">
        <v>25</v>
      </c>
      <c r="AN435" s="187" t="str">
        <f ca="1">Sprache!$A$128</f>
        <v>Пружина, оранжевая</v>
      </c>
      <c r="AO435" s="187" t="s">
        <v>25</v>
      </c>
      <c r="AP435" s="187" t="s">
        <v>25</v>
      </c>
      <c r="AQ435" s="187">
        <f>Limits!$K$9</f>
        <v>200</v>
      </c>
      <c r="AR435" s="124">
        <v>1200</v>
      </c>
      <c r="AS435" s="187"/>
      <c r="AT435" s="124"/>
      <c r="AV435"/>
      <c r="AX435" s="10"/>
      <c r="AY435" s="11"/>
      <c r="AZ435" s="2"/>
      <c r="BC435"/>
    </row>
    <row r="436" spans="1:55" hidden="1" x14ac:dyDescent="0.25">
      <c r="A436" s="12" t="str">
        <f ca="1">IF(F436+G436+H436+I436+J436+D436+E436=3,IF(Tabelle2[[#This Row],[Kappe Weiß]]=Limits!$R$29,1,""),"")</f>
        <v/>
      </c>
      <c r="B436" s="12" t="str">
        <f ca="1">IF(G436+H436+I436+J436+E436+F436=2,IF(Tabelle2[[#This Row],[Kappe Weiß]]=Limits!$R$29,1,""),"")</f>
        <v/>
      </c>
      <c r="C436" s="291">
        <v>0</v>
      </c>
      <c r="D436" s="171">
        <f>IF(Limits!$P$7=TRUE,1,0)</f>
        <v>0</v>
      </c>
      <c r="E436" s="172">
        <f>IF(Daten!$P436+Daten!$Q436+Daten!$S436=3,1,0)</f>
        <v>0</v>
      </c>
      <c r="F436" s="173">
        <f ca="1">IF(AND(Limits!$Q$21=TRUE,Daten!O436=1)=TRUE,1,0)</f>
        <v>0</v>
      </c>
      <c r="G436" s="174">
        <f>IF(AND(Limits!$Q$25=TRUE,Daten!N436=1)=TRUE,1,0)</f>
        <v>0</v>
      </c>
      <c r="H436" s="174">
        <f>IF(AND(Limits!$Q$24=TRUE,Daten!M436=1)=TRUE,1,0)</f>
        <v>0</v>
      </c>
      <c r="I436" s="174">
        <f>IF(AND(Limits!$Q$23=TRUE,Daten!L436=1)=TRUE,1,0)</f>
        <v>0</v>
      </c>
      <c r="J436" s="174">
        <f>IF(AND(Limits!$Q$22=TRUE,Daten!K436=1)=TRUE,1,0)</f>
        <v>0</v>
      </c>
      <c r="K436" s="188">
        <f>IF(Daten!$V436=13,1,0)</f>
        <v>1</v>
      </c>
      <c r="L436" s="189">
        <f>IF(Daten!$V436&lt;&gt;Daten!$W436,1,IF(Daten!$V436=14,1,0))</f>
        <v>0</v>
      </c>
      <c r="M436" s="189">
        <f>IF(Daten!$V436&lt;&gt;Daten!$W436,1,IF(Daten!$V436=16,1,0))</f>
        <v>0</v>
      </c>
      <c r="N436" s="189">
        <f>IF(Daten!$W436=17,1,0)</f>
        <v>0</v>
      </c>
      <c r="O436" s="190">
        <f ca="1">IF(Daten!$X436=Sprache!$A$70,1,0)</f>
        <v>0</v>
      </c>
      <c r="P436" s="191">
        <f>IF(AND(Daten!$AQ436&lt;=KINVARO!$AW$3,Daten!$AR436&gt;=KINVARO!$AW$3)=TRUE,1,0)</f>
        <v>1</v>
      </c>
      <c r="Q436" s="192">
        <f>IF(AND(Daten!$AA436&lt;=KINVARO!$AW$4,Daten!$AB436&gt;=KINVARO!$AW$4)=TRUE,1,0)</f>
        <v>0</v>
      </c>
      <c r="R436" s="192"/>
      <c r="S436" s="192">
        <f>IF(AND(Daten!$AD436&lt;=Limits!$I$70,Daten!$AE436&gt;=Limits!$I$70)=TRUE,1,0)</f>
        <v>0</v>
      </c>
      <c r="T436" s="193">
        <f ca="1">IF(Daten!$Y436=Sprache!$A$135,1,0)</f>
        <v>0</v>
      </c>
      <c r="U436" s="124" t="str">
        <f ca="1">Sprache!$A$67</f>
        <v>T-70 Поворотный подъемник</v>
      </c>
      <c r="V436" s="194">
        <v>13</v>
      </c>
      <c r="W436" s="193">
        <v>13</v>
      </c>
      <c r="X436" s="187" t="str">
        <f ca="1">Sprache!$A$141</f>
        <v>Alu</v>
      </c>
      <c r="Y436" s="187" t="str">
        <f ca="1">Sprache!$A$136</f>
        <v>nein</v>
      </c>
      <c r="Z436" s="187" t="str">
        <f ca="1">Sprache!$A$79</f>
        <v>Створка</v>
      </c>
      <c r="AA436" s="187">
        <v>600</v>
      </c>
      <c r="AB436" s="124">
        <v>600</v>
      </c>
      <c r="AC436" s="187"/>
      <c r="AD436" s="195">
        <v>1.4</v>
      </c>
      <c r="AE436" s="196">
        <v>3.3</v>
      </c>
      <c r="AF436" s="263" t="str">
        <f>MID(Tabelle2[[#This Row],[bnr full]],1,4)</f>
        <v>F151</v>
      </c>
      <c r="AG436" s="264" t="str">
        <f>MID(Tabelle2[[#This Row],[bnr full]],5,3)</f>
        <v>147</v>
      </c>
      <c r="AH436" s="265" t="str">
        <f>MID(Tabelle2[[#This Row],[bnr full]],8,3)</f>
        <v>688</v>
      </c>
      <c r="AI436" s="264" t="str">
        <f>MID(Tabelle2[[#This Row],[bnr full]],11,3)</f>
        <v>201</v>
      </c>
      <c r="AJ436" s="252" t="str">
        <f>MID(Tabelle2[[#This Row],[bnr full]],11,3)</f>
        <v>201</v>
      </c>
      <c r="AK436" s="197" t="s">
        <v>800</v>
      </c>
      <c r="AL436" s="124" t="str">
        <f ca="1">Sprache!$A$111</f>
        <v>Комплект (Л + П)</v>
      </c>
      <c r="AM436" s="187" t="s">
        <v>25</v>
      </c>
      <c r="AN436" s="187" t="str">
        <f ca="1">Sprache!$A$127</f>
        <v>Пружина, белая</v>
      </c>
      <c r="AO436" s="187" t="s">
        <v>25</v>
      </c>
      <c r="AP436" s="187" t="s">
        <v>25</v>
      </c>
      <c r="AQ436" s="187">
        <f>Limits!$K$9</f>
        <v>200</v>
      </c>
      <c r="AR436" s="124">
        <v>1200</v>
      </c>
      <c r="AS436" s="187"/>
      <c r="AT436" s="124"/>
      <c r="AV436"/>
      <c r="AX436" s="10"/>
      <c r="AY436" s="11"/>
      <c r="AZ436" s="2"/>
      <c r="BC436"/>
    </row>
    <row r="437" spans="1:55" hidden="1" x14ac:dyDescent="0.25">
      <c r="A437" s="12" t="str">
        <f ca="1">IF(F437+G437+H437+I437+J437+D437+E437=3,IF(Tabelle2[[#This Row],[Kappe Weiß]]=Limits!$R$29,1,""),"")</f>
        <v/>
      </c>
      <c r="B437" s="12" t="str">
        <f ca="1">IF(G437+H437+I437+J437+E437+F437=2,IF(Tabelle2[[#This Row],[Kappe Weiß]]=Limits!$R$29,1,""),"")</f>
        <v/>
      </c>
      <c r="C437" s="291">
        <v>0</v>
      </c>
      <c r="D437" s="171">
        <f>IF(Limits!$P$7=TRUE,1,0)</f>
        <v>0</v>
      </c>
      <c r="E437" s="172">
        <f>IF(Daten!$P437+Daten!$Q437+Daten!$S437=3,1,0)</f>
        <v>0</v>
      </c>
      <c r="F437" s="173">
        <f ca="1">IF(AND(Limits!$Q$21=TRUE,Daten!O437=1)=TRUE,1,0)</f>
        <v>0</v>
      </c>
      <c r="G437" s="174">
        <f>IF(AND(Limits!$Q$25=TRUE,Daten!N437=1)=TRUE,1,0)</f>
        <v>0</v>
      </c>
      <c r="H437" s="174">
        <f>IF(AND(Limits!$Q$24=TRUE,Daten!M437=1)=TRUE,1,0)</f>
        <v>0</v>
      </c>
      <c r="I437" s="174">
        <f>IF(AND(Limits!$Q$23=TRUE,Daten!L437=1)=TRUE,1,0)</f>
        <v>0</v>
      </c>
      <c r="J437" s="174">
        <f>IF(AND(Limits!$Q$22=TRUE,Daten!K437=1)=TRUE,1,0)</f>
        <v>0</v>
      </c>
      <c r="K437" s="188">
        <f>IF(Daten!$V437=13,1,0)</f>
        <v>1</v>
      </c>
      <c r="L437" s="189">
        <f>IF(Daten!$V437&lt;&gt;Daten!$W437,1,IF(Daten!$V437=14,1,0))</f>
        <v>0</v>
      </c>
      <c r="M437" s="189">
        <f>IF(Daten!$V437&lt;&gt;Daten!$W437,1,IF(Daten!$V437=16,1,0))</f>
        <v>0</v>
      </c>
      <c r="N437" s="189">
        <f>IF(Daten!$W437=17,1,0)</f>
        <v>0</v>
      </c>
      <c r="O437" s="190">
        <f ca="1">IF(Daten!$X437=Sprache!$A$70,1,0)</f>
        <v>0</v>
      </c>
      <c r="P437" s="191">
        <f>IF(AND(Daten!$AQ437&lt;=KINVARO!$AW$3,Daten!$AR437&gt;=KINVARO!$AW$3)=TRUE,1,0)</f>
        <v>1</v>
      </c>
      <c r="Q437" s="192">
        <f>IF(AND(Daten!$AA437&lt;=KINVARO!$AW$4,Daten!$AB437&gt;=KINVARO!$AW$4)=TRUE,1,0)</f>
        <v>0</v>
      </c>
      <c r="R437" s="192"/>
      <c r="S437" s="192">
        <f>IF(AND(Daten!$AD437&lt;=Limits!$I$70,Daten!$AE437&gt;=Limits!$I$70)=TRUE,1,0)</f>
        <v>0</v>
      </c>
      <c r="T437" s="193">
        <f ca="1">IF(Daten!$Y437=Sprache!$A$135,1,0)</f>
        <v>0</v>
      </c>
      <c r="U437" s="124" t="str">
        <f ca="1">Sprache!$A$67</f>
        <v>T-70 Поворотный подъемник</v>
      </c>
      <c r="V437" s="194">
        <v>13</v>
      </c>
      <c r="W437" s="193">
        <v>13</v>
      </c>
      <c r="X437" s="187" t="str">
        <f ca="1">Sprache!$A$141</f>
        <v>Alu</v>
      </c>
      <c r="Y437" s="187" t="str">
        <f ca="1">Sprache!$A$136</f>
        <v>nein</v>
      </c>
      <c r="Z437" s="187" t="str">
        <f ca="1">Sprache!$A$79</f>
        <v>Створка</v>
      </c>
      <c r="AA437" s="187">
        <v>600</v>
      </c>
      <c r="AB437" s="124">
        <v>600</v>
      </c>
      <c r="AC437" s="187"/>
      <c r="AD437" s="195">
        <v>1.4</v>
      </c>
      <c r="AE437" s="196">
        <v>4.2</v>
      </c>
      <c r="AF437" s="263" t="str">
        <f>MID(Tabelle2[[#This Row],[bnr full]],1,4)</f>
        <v>F151</v>
      </c>
      <c r="AG437" s="264" t="str">
        <f>MID(Tabelle2[[#This Row],[bnr full]],5,3)</f>
        <v>147</v>
      </c>
      <c r="AH437" s="265" t="str">
        <f>MID(Tabelle2[[#This Row],[bnr full]],8,3)</f>
        <v>688</v>
      </c>
      <c r="AI437" s="264" t="str">
        <f>MID(Tabelle2[[#This Row],[bnr full]],11,3)</f>
        <v>201</v>
      </c>
      <c r="AJ437" s="252" t="str">
        <f>MID(Tabelle2[[#This Row],[bnr full]],11,3)</f>
        <v>201</v>
      </c>
      <c r="AK437" s="197" t="s">
        <v>800</v>
      </c>
      <c r="AL437" s="124" t="str">
        <f ca="1">Sprache!$A$111</f>
        <v>Комплект (Л + П)</v>
      </c>
      <c r="AM437" s="187" t="s">
        <v>25</v>
      </c>
      <c r="AN437" s="187" t="str">
        <f ca="1">Sprache!$A$128</f>
        <v>Пружина, оранжевая</v>
      </c>
      <c r="AO437" s="187" t="s">
        <v>25</v>
      </c>
      <c r="AP437" s="187" t="s">
        <v>25</v>
      </c>
      <c r="AQ437" s="187">
        <f>Limits!$K$9</f>
        <v>200</v>
      </c>
      <c r="AR437" s="124">
        <v>1200</v>
      </c>
      <c r="AS437" s="187"/>
      <c r="AT437" s="124"/>
      <c r="AV437"/>
      <c r="AX437" s="10"/>
      <c r="AY437" s="11"/>
      <c r="AZ437" s="2"/>
      <c r="BC437"/>
    </row>
    <row r="438" spans="1:55" hidden="1" x14ac:dyDescent="0.25">
      <c r="A438" s="12" t="str">
        <f ca="1">IF(F438+G438+H438+I438+J438+D438+E438=3,IF(Tabelle2[[#This Row],[Kappe Weiß]]=Limits!$R$29,1,""),"")</f>
        <v/>
      </c>
      <c r="B438" s="12" t="str">
        <f ca="1">IF(G438+H438+I438+J438+E438+F438=2,IF(Tabelle2[[#This Row],[Kappe Weiß]]=Limits!$R$29,1,""),"")</f>
        <v/>
      </c>
      <c r="C438" s="291">
        <v>0</v>
      </c>
      <c r="D438" s="171">
        <f>IF(Limits!$P$7=TRUE,1,0)</f>
        <v>0</v>
      </c>
      <c r="E438" s="172">
        <f>IF(Daten!$P438+Daten!$Q438+Daten!$S438=3,1,0)</f>
        <v>0</v>
      </c>
      <c r="F438" s="173">
        <f ca="1">IF(AND(Limits!$Q$21=TRUE,Daten!O438=1)=TRUE,1,0)</f>
        <v>0</v>
      </c>
      <c r="G438" s="174">
        <f>IF(AND(Limits!$Q$25=TRUE,Daten!N438=1)=TRUE,1,0)</f>
        <v>0</v>
      </c>
      <c r="H438" s="174">
        <f>IF(AND(Limits!$Q$24=TRUE,Daten!M438=1)=TRUE,1,0)</f>
        <v>0</v>
      </c>
      <c r="I438" s="174">
        <f>IF(AND(Limits!$Q$23=TRUE,Daten!L438=1)=TRUE,1,0)</f>
        <v>0</v>
      </c>
      <c r="J438" s="174">
        <f>IF(AND(Limits!$Q$22=TRUE,Daten!K438=1)=TRUE,1,0)</f>
        <v>0</v>
      </c>
      <c r="K438" s="188">
        <f>IF(Daten!$V438=13,1,0)</f>
        <v>0</v>
      </c>
      <c r="L438" s="189">
        <f>IF(Daten!$V438&lt;&gt;Daten!$W438,1,IF(Daten!$V438=14,1,0))</f>
        <v>1</v>
      </c>
      <c r="M438" s="189">
        <f>IF(Daten!$V438&lt;&gt;Daten!$W438,1,IF(Daten!$V438=16,1,0))</f>
        <v>0</v>
      </c>
      <c r="N438" s="189">
        <f>IF(Daten!$W438=17,1,0)</f>
        <v>0</v>
      </c>
      <c r="O438" s="190">
        <f ca="1">IF(Daten!$X438=Sprache!$A$70,1,0)</f>
        <v>0</v>
      </c>
      <c r="P438" s="191">
        <f>IF(AND(Daten!$AQ438&lt;=KINVARO!$AW$3,Daten!$AR438&gt;=KINVARO!$AW$3)=TRUE,1,0)</f>
        <v>1</v>
      </c>
      <c r="Q438" s="192">
        <f>IF(AND(Daten!$AA438&lt;=KINVARO!$AW$4,Daten!$AB438&gt;=KINVARO!$AW$4)=TRUE,1,0)</f>
        <v>0</v>
      </c>
      <c r="R438" s="192"/>
      <c r="S438" s="192">
        <f>IF(AND(Daten!$AD438&lt;=Limits!$I$70,Daten!$AE438&gt;=Limits!$I$70)=TRUE,1,0)</f>
        <v>0</v>
      </c>
      <c r="T438" s="193">
        <f ca="1">IF(Daten!$Y438=Sprache!$A$135,1,0)</f>
        <v>0</v>
      </c>
      <c r="U438" s="124" t="str">
        <f ca="1">Sprache!$A$67</f>
        <v>T-70 Поворотный подъемник</v>
      </c>
      <c r="V438" s="194">
        <v>14</v>
      </c>
      <c r="W438" s="193">
        <v>14</v>
      </c>
      <c r="X438" s="187" t="str">
        <f ca="1">Sprache!$A$141</f>
        <v>Alu</v>
      </c>
      <c r="Y438" s="187" t="str">
        <f ca="1">Sprache!$A$136</f>
        <v>nein</v>
      </c>
      <c r="Z438" s="187" t="str">
        <f ca="1">Sprache!$A$79</f>
        <v>Створка</v>
      </c>
      <c r="AA438" s="187">
        <v>600</v>
      </c>
      <c r="AB438" s="124">
        <v>600</v>
      </c>
      <c r="AC438" s="187"/>
      <c r="AD438" s="195">
        <v>1.4</v>
      </c>
      <c r="AE438" s="196">
        <v>3.3</v>
      </c>
      <c r="AF438" s="263" t="str">
        <f>MID(Tabelle2[[#This Row],[bnr full]],1,4)</f>
        <v>F151</v>
      </c>
      <c r="AG438" s="264" t="str">
        <f>MID(Tabelle2[[#This Row],[bnr full]],5,3)</f>
        <v>147</v>
      </c>
      <c r="AH438" s="265" t="str">
        <f>MID(Tabelle2[[#This Row],[bnr full]],8,3)</f>
        <v>689</v>
      </c>
      <c r="AI438" s="264" t="str">
        <f>MID(Tabelle2[[#This Row],[bnr full]],11,3)</f>
        <v>201</v>
      </c>
      <c r="AJ438" s="252" t="str">
        <f>MID(Tabelle2[[#This Row],[bnr full]],11,3)</f>
        <v>201</v>
      </c>
      <c r="AK438" s="197" t="s">
        <v>801</v>
      </c>
      <c r="AL438" s="124" t="str">
        <f ca="1">Sprache!$A$111</f>
        <v>Комплект (Л + П)</v>
      </c>
      <c r="AM438" s="187" t="s">
        <v>25</v>
      </c>
      <c r="AN438" s="187" t="str">
        <f ca="1">Sprache!$A$127</f>
        <v>Пружина, белая</v>
      </c>
      <c r="AO438" s="187" t="s">
        <v>25</v>
      </c>
      <c r="AP438" s="187" t="s">
        <v>25</v>
      </c>
      <c r="AQ438" s="187">
        <f>Limits!$K$9</f>
        <v>200</v>
      </c>
      <c r="AR438" s="124">
        <v>1200</v>
      </c>
      <c r="AS438" s="187"/>
      <c r="AT438" s="124"/>
      <c r="AV438"/>
      <c r="AX438" s="10"/>
      <c r="AY438" s="11"/>
      <c r="AZ438" s="2"/>
      <c r="BC438"/>
    </row>
    <row r="439" spans="1:55" hidden="1" x14ac:dyDescent="0.25">
      <c r="A439" s="12" t="str">
        <f ca="1">IF(F439+G439+H439+I439+J439+D439+E439=3,IF(Tabelle2[[#This Row],[Kappe Weiß]]=Limits!$R$29,1,""),"")</f>
        <v/>
      </c>
      <c r="B439" s="12" t="str">
        <f ca="1">IF(G439+H439+I439+J439+E439+F439=2,IF(Tabelle2[[#This Row],[Kappe Weiß]]=Limits!$R$29,1,""),"")</f>
        <v/>
      </c>
      <c r="C439" s="291">
        <v>0</v>
      </c>
      <c r="D439" s="171">
        <f>IF(Limits!$P$7=TRUE,1,0)</f>
        <v>0</v>
      </c>
      <c r="E439" s="172">
        <f>IF(Daten!$P439+Daten!$Q439+Daten!$S439=3,1,0)</f>
        <v>0</v>
      </c>
      <c r="F439" s="173">
        <f ca="1">IF(AND(Limits!$Q$21=TRUE,Daten!O439=1)=TRUE,1,0)</f>
        <v>0</v>
      </c>
      <c r="G439" s="174">
        <f>IF(AND(Limits!$Q$25=TRUE,Daten!N439=1)=TRUE,1,0)</f>
        <v>0</v>
      </c>
      <c r="H439" s="174">
        <f>IF(AND(Limits!$Q$24=TRUE,Daten!M439=1)=TRUE,1,0)</f>
        <v>0</v>
      </c>
      <c r="I439" s="174">
        <f>IF(AND(Limits!$Q$23=TRUE,Daten!L439=1)=TRUE,1,0)</f>
        <v>0</v>
      </c>
      <c r="J439" s="174">
        <f>IF(AND(Limits!$Q$22=TRUE,Daten!K439=1)=TRUE,1,0)</f>
        <v>0</v>
      </c>
      <c r="K439" s="188">
        <f>IF(Daten!$V439=13,1,0)</f>
        <v>0</v>
      </c>
      <c r="L439" s="189">
        <f>IF(Daten!$V439&lt;&gt;Daten!$W439,1,IF(Daten!$V439=14,1,0))</f>
        <v>1</v>
      </c>
      <c r="M439" s="189">
        <f>IF(Daten!$V439&lt;&gt;Daten!$W439,1,IF(Daten!$V439=16,1,0))</f>
        <v>0</v>
      </c>
      <c r="N439" s="189">
        <f>IF(Daten!$W439=17,1,0)</f>
        <v>0</v>
      </c>
      <c r="O439" s="190">
        <f ca="1">IF(Daten!$X439=Sprache!$A$70,1,0)</f>
        <v>0</v>
      </c>
      <c r="P439" s="191">
        <f>IF(AND(Daten!$AQ439&lt;=KINVARO!$AW$3,Daten!$AR439&gt;=KINVARO!$AW$3)=TRUE,1,0)</f>
        <v>1</v>
      </c>
      <c r="Q439" s="192">
        <f>IF(AND(Daten!$AA439&lt;=KINVARO!$AW$4,Daten!$AB439&gt;=KINVARO!$AW$4)=TRUE,1,0)</f>
        <v>0</v>
      </c>
      <c r="R439" s="192"/>
      <c r="S439" s="192">
        <f>IF(AND(Daten!$AD439&lt;=Limits!$I$70,Daten!$AE439&gt;=Limits!$I$70)=TRUE,1,0)</f>
        <v>0</v>
      </c>
      <c r="T439" s="193">
        <f ca="1">IF(Daten!$Y439=Sprache!$A$135,1,0)</f>
        <v>0</v>
      </c>
      <c r="U439" s="124" t="str">
        <f ca="1">Sprache!$A$67</f>
        <v>T-70 Поворотный подъемник</v>
      </c>
      <c r="V439" s="194">
        <v>14</v>
      </c>
      <c r="W439" s="193">
        <v>14</v>
      </c>
      <c r="X439" s="187" t="str">
        <f ca="1">Sprache!$A$141</f>
        <v>Alu</v>
      </c>
      <c r="Y439" s="187" t="str">
        <f ca="1">Sprache!$A$136</f>
        <v>nein</v>
      </c>
      <c r="Z439" s="187" t="str">
        <f ca="1">Sprache!$A$79</f>
        <v>Створка</v>
      </c>
      <c r="AA439" s="187">
        <v>600</v>
      </c>
      <c r="AB439" s="124">
        <v>600</v>
      </c>
      <c r="AC439" s="187"/>
      <c r="AD439" s="195">
        <v>1.4</v>
      </c>
      <c r="AE439" s="196">
        <v>4.2</v>
      </c>
      <c r="AF439" s="263" t="str">
        <f>MID(Tabelle2[[#This Row],[bnr full]],1,4)</f>
        <v>F151</v>
      </c>
      <c r="AG439" s="264" t="str">
        <f>MID(Tabelle2[[#This Row],[bnr full]],5,3)</f>
        <v>147</v>
      </c>
      <c r="AH439" s="265" t="str">
        <f>MID(Tabelle2[[#This Row],[bnr full]],8,3)</f>
        <v>689</v>
      </c>
      <c r="AI439" s="264" t="str">
        <f>MID(Tabelle2[[#This Row],[bnr full]],11,3)</f>
        <v>201</v>
      </c>
      <c r="AJ439" s="252" t="str">
        <f>MID(Tabelle2[[#This Row],[bnr full]],11,3)</f>
        <v>201</v>
      </c>
      <c r="AK439" s="197" t="s">
        <v>801</v>
      </c>
      <c r="AL439" s="124" t="str">
        <f ca="1">Sprache!$A$111</f>
        <v>Комплект (Л + П)</v>
      </c>
      <c r="AM439" s="187" t="s">
        <v>25</v>
      </c>
      <c r="AN439" s="187" t="str">
        <f ca="1">Sprache!$A$128</f>
        <v>Пружина, оранжевая</v>
      </c>
      <c r="AO439" s="187" t="s">
        <v>25</v>
      </c>
      <c r="AP439" s="187" t="s">
        <v>25</v>
      </c>
      <c r="AQ439" s="187">
        <f>Limits!$K$9</f>
        <v>200</v>
      </c>
      <c r="AR439" s="124">
        <v>1200</v>
      </c>
      <c r="AS439" s="187"/>
      <c r="AT439" s="124"/>
      <c r="AV439"/>
      <c r="AX439" s="10"/>
      <c r="AY439" s="11"/>
      <c r="AZ439" s="2"/>
      <c r="BC439"/>
    </row>
    <row r="440" spans="1:55" hidden="1" x14ac:dyDescent="0.25">
      <c r="A440" s="12" t="str">
        <f ca="1">IF(F440+G440+H440+I440+J440+D440+E440=3,IF(Tabelle2[[#This Row],[Kappe Weiß]]=Limits!$R$29,1,""),"")</f>
        <v/>
      </c>
      <c r="B440" s="12" t="str">
        <f ca="1">IF(G440+H440+I440+J440+E440+F440=2,IF(Tabelle2[[#This Row],[Kappe Weiß]]=Limits!$R$29,1,""),"")</f>
        <v/>
      </c>
      <c r="C440" s="291">
        <v>0</v>
      </c>
      <c r="D440" s="171">
        <f>IF(Limits!$P$7=TRUE,1,0)</f>
        <v>0</v>
      </c>
      <c r="E440" s="172">
        <f>IF(Daten!$P440+Daten!$Q440+Daten!$S440=3,1,0)</f>
        <v>0</v>
      </c>
      <c r="F440" s="173">
        <f ca="1">IF(AND(Limits!$Q$21=TRUE,Daten!O440=1)=TRUE,1,0)</f>
        <v>0</v>
      </c>
      <c r="G440" s="174">
        <f>IF(AND(Limits!$Q$25=TRUE,Daten!N440=1)=TRUE,1,0)</f>
        <v>0</v>
      </c>
      <c r="H440" s="174">
        <f>IF(AND(Limits!$Q$24=TRUE,Daten!M440=1)=TRUE,1,0)</f>
        <v>0</v>
      </c>
      <c r="I440" s="174">
        <f>IF(AND(Limits!$Q$23=TRUE,Daten!L440=1)=TRUE,1,0)</f>
        <v>0</v>
      </c>
      <c r="J440" s="174">
        <f>IF(AND(Limits!$Q$22=TRUE,Daten!K440=1)=TRUE,1,0)</f>
        <v>0</v>
      </c>
      <c r="K440" s="188">
        <f>IF(Daten!$V440=13,1,0)</f>
        <v>0</v>
      </c>
      <c r="L440" s="189">
        <f>IF(Daten!$V440&lt;&gt;Daten!$W440,1,IF(Daten!$V440=14,1,0))</f>
        <v>0</v>
      </c>
      <c r="M440" s="189">
        <f>IF(Daten!$V440&lt;&gt;Daten!$W440,1,IF(Daten!$V440=16,1,0))</f>
        <v>1</v>
      </c>
      <c r="N440" s="189">
        <f>IF(Daten!$W440=17,1,0)</f>
        <v>0</v>
      </c>
      <c r="O440" s="190">
        <f ca="1">IF(Daten!$X440=Sprache!$A$70,1,0)</f>
        <v>0</v>
      </c>
      <c r="P440" s="191">
        <f>IF(AND(Daten!$AQ440&lt;=KINVARO!$AW$3,Daten!$AR440&gt;=KINVARO!$AW$3)=TRUE,1,0)</f>
        <v>1</v>
      </c>
      <c r="Q440" s="192">
        <f>IF(AND(Daten!$AA440&lt;=KINVARO!$AW$4,Daten!$AB440&gt;=KINVARO!$AW$4)=TRUE,1,0)</f>
        <v>0</v>
      </c>
      <c r="R440" s="192"/>
      <c r="S440" s="192">
        <f>IF(AND(Daten!$AD440&lt;=Limits!$I$70,Daten!$AE440&gt;=Limits!$I$70)=TRUE,1,0)</f>
        <v>0</v>
      </c>
      <c r="T440" s="193">
        <f ca="1">IF(Daten!$Y440=Sprache!$A$135,1,0)</f>
        <v>0</v>
      </c>
      <c r="U440" s="124" t="str">
        <f ca="1">Sprache!$A$67</f>
        <v>T-70 Поворотный подъемник</v>
      </c>
      <c r="V440" s="194">
        <v>16</v>
      </c>
      <c r="W440" s="193">
        <v>16</v>
      </c>
      <c r="X440" s="187" t="str">
        <f ca="1">Sprache!$A$141</f>
        <v>Alu</v>
      </c>
      <c r="Y440" s="187" t="str">
        <f ca="1">Sprache!$A$136</f>
        <v>nein</v>
      </c>
      <c r="Z440" s="187" t="str">
        <f ca="1">Sprache!$A$79</f>
        <v>Створка</v>
      </c>
      <c r="AA440" s="187">
        <v>600</v>
      </c>
      <c r="AB440" s="124">
        <v>600</v>
      </c>
      <c r="AC440" s="187"/>
      <c r="AD440" s="195">
        <v>1.4</v>
      </c>
      <c r="AE440" s="196">
        <v>3.3</v>
      </c>
      <c r="AF440" s="263" t="str">
        <f>MID(Tabelle2[[#This Row],[bnr full]],1,4)</f>
        <v>F151</v>
      </c>
      <c r="AG440" s="264" t="str">
        <f>MID(Tabelle2[[#This Row],[bnr full]],5,3)</f>
        <v>147</v>
      </c>
      <c r="AH440" s="265" t="str">
        <f>MID(Tabelle2[[#This Row],[bnr full]],8,3)</f>
        <v>690</v>
      </c>
      <c r="AI440" s="264" t="str">
        <f>MID(Tabelle2[[#This Row],[bnr full]],11,3)</f>
        <v>201</v>
      </c>
      <c r="AJ440" s="252" t="str">
        <f>MID(Tabelle2[[#This Row],[bnr full]],11,3)</f>
        <v>201</v>
      </c>
      <c r="AK440" s="197" t="s">
        <v>802</v>
      </c>
      <c r="AL440" s="124" t="str">
        <f ca="1">Sprache!$A$111</f>
        <v>Комплект (Л + П)</v>
      </c>
      <c r="AM440" s="187" t="s">
        <v>25</v>
      </c>
      <c r="AN440" s="187" t="str">
        <f ca="1">Sprache!$A$127</f>
        <v>Пружина, белая</v>
      </c>
      <c r="AO440" s="187" t="s">
        <v>25</v>
      </c>
      <c r="AP440" s="187" t="s">
        <v>25</v>
      </c>
      <c r="AQ440" s="187">
        <f>Limits!$K$9</f>
        <v>200</v>
      </c>
      <c r="AR440" s="124">
        <v>1200</v>
      </c>
      <c r="AS440" s="187"/>
      <c r="AT440" s="124"/>
      <c r="AV440"/>
      <c r="AX440" s="10"/>
      <c r="AY440" s="11"/>
      <c r="AZ440" s="2"/>
      <c r="BC440"/>
    </row>
    <row r="441" spans="1:55" hidden="1" x14ac:dyDescent="0.25">
      <c r="A441" s="12" t="str">
        <f ca="1">IF(F441+G441+H441+I441+J441+D441+E441=3,IF(Tabelle2[[#This Row],[Kappe Weiß]]=Limits!$R$29,1,""),"")</f>
        <v/>
      </c>
      <c r="B441" s="12" t="str">
        <f ca="1">IF(G441+H441+I441+J441+E441+F441=2,IF(Tabelle2[[#This Row],[Kappe Weiß]]=Limits!$R$29,1,""),"")</f>
        <v/>
      </c>
      <c r="C441" s="291">
        <v>0</v>
      </c>
      <c r="D441" s="171">
        <f>IF(Limits!$P$7=TRUE,1,0)</f>
        <v>0</v>
      </c>
      <c r="E441" s="172">
        <f>IF(Daten!$P441+Daten!$Q441+Daten!$S441=3,1,0)</f>
        <v>0</v>
      </c>
      <c r="F441" s="173">
        <f ca="1">IF(AND(Limits!$Q$21=TRUE,Daten!O441=1)=TRUE,1,0)</f>
        <v>0</v>
      </c>
      <c r="G441" s="174">
        <f>IF(AND(Limits!$Q$25=TRUE,Daten!N441=1)=TRUE,1,0)</f>
        <v>0</v>
      </c>
      <c r="H441" s="174">
        <f>IF(AND(Limits!$Q$24=TRUE,Daten!M441=1)=TRUE,1,0)</f>
        <v>0</v>
      </c>
      <c r="I441" s="174">
        <f>IF(AND(Limits!$Q$23=TRUE,Daten!L441=1)=TRUE,1,0)</f>
        <v>0</v>
      </c>
      <c r="J441" s="174">
        <f>IF(AND(Limits!$Q$22=TRUE,Daten!K441=1)=TRUE,1,0)</f>
        <v>0</v>
      </c>
      <c r="K441" s="188">
        <f>IF(Daten!$V441=13,1,0)</f>
        <v>0</v>
      </c>
      <c r="L441" s="189">
        <f>IF(Daten!$V441&lt;&gt;Daten!$W441,1,IF(Daten!$V441=14,1,0))</f>
        <v>0</v>
      </c>
      <c r="M441" s="189">
        <f>IF(Daten!$V441&lt;&gt;Daten!$W441,1,IF(Daten!$V441=16,1,0))</f>
        <v>1</v>
      </c>
      <c r="N441" s="189">
        <f>IF(Daten!$W441=17,1,0)</f>
        <v>0</v>
      </c>
      <c r="O441" s="190">
        <f ca="1">IF(Daten!$X441=Sprache!$A$70,1,0)</f>
        <v>0</v>
      </c>
      <c r="P441" s="191">
        <f>IF(AND(Daten!$AQ441&lt;=KINVARO!$AW$3,Daten!$AR441&gt;=KINVARO!$AW$3)=TRUE,1,0)</f>
        <v>1</v>
      </c>
      <c r="Q441" s="192">
        <f>IF(AND(Daten!$AA441&lt;=KINVARO!$AW$4,Daten!$AB441&gt;=KINVARO!$AW$4)=TRUE,1,0)</f>
        <v>0</v>
      </c>
      <c r="R441" s="192"/>
      <c r="S441" s="192">
        <f>IF(AND(Daten!$AD441&lt;=Limits!$I$70,Daten!$AE441&gt;=Limits!$I$70)=TRUE,1,0)</f>
        <v>0</v>
      </c>
      <c r="T441" s="193">
        <f ca="1">IF(Daten!$Y441=Sprache!$A$135,1,0)</f>
        <v>0</v>
      </c>
      <c r="U441" s="124" t="str">
        <f ca="1">Sprache!$A$67</f>
        <v>T-70 Поворотный подъемник</v>
      </c>
      <c r="V441" s="194">
        <v>16</v>
      </c>
      <c r="W441" s="193">
        <v>16</v>
      </c>
      <c r="X441" s="187" t="str">
        <f ca="1">Sprache!$A$141</f>
        <v>Alu</v>
      </c>
      <c r="Y441" s="187" t="str">
        <f ca="1">Sprache!$A$136</f>
        <v>nein</v>
      </c>
      <c r="Z441" s="187" t="str">
        <f ca="1">Sprache!$A$79</f>
        <v>Створка</v>
      </c>
      <c r="AA441" s="187">
        <v>600</v>
      </c>
      <c r="AB441" s="124">
        <v>600</v>
      </c>
      <c r="AC441" s="187"/>
      <c r="AD441" s="195">
        <v>1.4</v>
      </c>
      <c r="AE441" s="196">
        <v>4.2</v>
      </c>
      <c r="AF441" s="263" t="str">
        <f>MID(Tabelle2[[#This Row],[bnr full]],1,4)</f>
        <v>F151</v>
      </c>
      <c r="AG441" s="264" t="str">
        <f>MID(Tabelle2[[#This Row],[bnr full]],5,3)</f>
        <v>147</v>
      </c>
      <c r="AH441" s="265" t="str">
        <f>MID(Tabelle2[[#This Row],[bnr full]],8,3)</f>
        <v>690</v>
      </c>
      <c r="AI441" s="264" t="str">
        <f>MID(Tabelle2[[#This Row],[bnr full]],11,3)</f>
        <v>201</v>
      </c>
      <c r="AJ441" s="252" t="str">
        <f>MID(Tabelle2[[#This Row],[bnr full]],11,3)</f>
        <v>201</v>
      </c>
      <c r="AK441" s="197" t="s">
        <v>802</v>
      </c>
      <c r="AL441" s="124" t="str">
        <f ca="1">Sprache!$A$111</f>
        <v>Комплект (Л + П)</v>
      </c>
      <c r="AM441" s="187" t="s">
        <v>25</v>
      </c>
      <c r="AN441" s="187" t="str">
        <f ca="1">Sprache!$A$128</f>
        <v>Пружина, оранжевая</v>
      </c>
      <c r="AO441" s="187" t="s">
        <v>25</v>
      </c>
      <c r="AP441" s="187" t="s">
        <v>25</v>
      </c>
      <c r="AQ441" s="187">
        <f>Limits!$K$9</f>
        <v>200</v>
      </c>
      <c r="AR441" s="124">
        <v>1200</v>
      </c>
      <c r="AS441" s="187"/>
      <c r="AT441" s="124"/>
      <c r="AV441"/>
      <c r="AX441" s="10"/>
      <c r="AY441" s="11"/>
      <c r="AZ441" s="2"/>
      <c r="BC441"/>
    </row>
    <row r="442" spans="1:55" hidden="1" x14ac:dyDescent="0.25">
      <c r="A442" s="12" t="str">
        <f ca="1">IF(F442+G442+H442+I442+J442+D442+E442=3,IF(Tabelle2[[#This Row],[Kappe Weiß]]=Limits!$R$29,1,""),"")</f>
        <v/>
      </c>
      <c r="B442" s="12" t="str">
        <f ca="1">IF(G442+H442+I442+J442+E442+F442=2,IF(Tabelle2[[#This Row],[Kappe Weiß]]=Limits!$R$29,1,""),"")</f>
        <v/>
      </c>
      <c r="C442" s="291">
        <v>0</v>
      </c>
      <c r="D442" s="171">
        <f>IF(Limits!$P$7=TRUE,1,0)</f>
        <v>0</v>
      </c>
      <c r="E442" s="172">
        <f>IF(Daten!$P442+Daten!$Q442+Daten!$S442=3,1,0)</f>
        <v>0</v>
      </c>
      <c r="F442" s="173">
        <f ca="1">IF(AND(Limits!$Q$21=TRUE,Daten!O442=1)=TRUE,1,0)</f>
        <v>0</v>
      </c>
      <c r="G442" s="174">
        <f>IF(AND(Limits!$Q$25=TRUE,Daten!N442=1)=TRUE,1,0)</f>
        <v>0</v>
      </c>
      <c r="H442" s="174">
        <f>IF(AND(Limits!$Q$24=TRUE,Daten!M442=1)=TRUE,1,0)</f>
        <v>0</v>
      </c>
      <c r="I442" s="174">
        <f>IF(AND(Limits!$Q$23=TRUE,Daten!L442=1)=TRUE,1,0)</f>
        <v>0</v>
      </c>
      <c r="J442" s="174">
        <f>IF(AND(Limits!$Q$22=TRUE,Daten!K442=1)=TRUE,1,0)</f>
        <v>0</v>
      </c>
      <c r="K442" s="188">
        <f>IF(Daten!$V442=13,1,0)</f>
        <v>0</v>
      </c>
      <c r="L442" s="189">
        <f>IF(Daten!$V442&lt;&gt;Daten!$W442,1,IF(Daten!$V442=14,1,0))</f>
        <v>0</v>
      </c>
      <c r="M442" s="189">
        <f>IF(Daten!$V442&lt;&gt;Daten!$W442,1,IF(Daten!$V442=16,1,0))</f>
        <v>0</v>
      </c>
      <c r="N442" s="189">
        <f>IF(Daten!$W442=17,1,0)</f>
        <v>1</v>
      </c>
      <c r="O442" s="190">
        <f ca="1">IF(Daten!$X442=Sprache!$A$70,1,0)</f>
        <v>0</v>
      </c>
      <c r="P442" s="191">
        <f>IF(AND(Daten!$AQ442&lt;=KINVARO!$AW$3,Daten!$AR442&gt;=KINVARO!$AW$3)=TRUE,1,0)</f>
        <v>1</v>
      </c>
      <c r="Q442" s="192">
        <f>IF(AND(Daten!$AA442&lt;=KINVARO!$AW$4,Daten!$AB442&gt;=KINVARO!$AW$4)=TRUE,1,0)</f>
        <v>0</v>
      </c>
      <c r="R442" s="192"/>
      <c r="S442" s="192">
        <f>IF(AND(Daten!$AD442&lt;=Limits!$I$70,Daten!$AE442&gt;=Limits!$I$70)=TRUE,1,0)</f>
        <v>0</v>
      </c>
      <c r="T442" s="193">
        <f ca="1">IF(Daten!$Y442=Sprache!$A$135,1,0)</f>
        <v>0</v>
      </c>
      <c r="U442" s="124" t="str">
        <f ca="1">Sprache!$A$67</f>
        <v>T-70 Поворотный подъемник</v>
      </c>
      <c r="V442" s="194">
        <v>17</v>
      </c>
      <c r="W442" s="193">
        <v>17</v>
      </c>
      <c r="X442" s="187" t="str">
        <f ca="1">Sprache!$A$141</f>
        <v>Alu</v>
      </c>
      <c r="Y442" s="187" t="str">
        <f ca="1">Sprache!$A$136</f>
        <v>nein</v>
      </c>
      <c r="Z442" s="187" t="str">
        <f ca="1">Sprache!$A$79</f>
        <v>Створка</v>
      </c>
      <c r="AA442" s="187">
        <v>600</v>
      </c>
      <c r="AB442" s="124">
        <v>600</v>
      </c>
      <c r="AC442" s="187"/>
      <c r="AD442" s="195">
        <v>1.4</v>
      </c>
      <c r="AE442" s="196">
        <v>3.3</v>
      </c>
      <c r="AF442" s="263" t="str">
        <f>MID(Tabelle2[[#This Row],[bnr full]],1,4)</f>
        <v>F151</v>
      </c>
      <c r="AG442" s="264" t="str">
        <f>MID(Tabelle2[[#This Row],[bnr full]],5,3)</f>
        <v>147</v>
      </c>
      <c r="AH442" s="265" t="str">
        <f>MID(Tabelle2[[#This Row],[bnr full]],8,3)</f>
        <v>691</v>
      </c>
      <c r="AI442" s="264" t="str">
        <f>MID(Tabelle2[[#This Row],[bnr full]],11,3)</f>
        <v>201</v>
      </c>
      <c r="AJ442" s="252" t="str">
        <f>MID(Tabelle2[[#This Row],[bnr full]],11,3)</f>
        <v>201</v>
      </c>
      <c r="AK442" s="197" t="s">
        <v>803</v>
      </c>
      <c r="AL442" s="124" t="str">
        <f ca="1">Sprache!$A$111</f>
        <v>Комплект (Л + П)</v>
      </c>
      <c r="AM442" s="187" t="s">
        <v>25</v>
      </c>
      <c r="AN442" s="187" t="str">
        <f ca="1">Sprache!$A$127</f>
        <v>Пружина, белая</v>
      </c>
      <c r="AO442" s="187" t="s">
        <v>25</v>
      </c>
      <c r="AP442" s="187" t="s">
        <v>25</v>
      </c>
      <c r="AQ442" s="187">
        <f>Limits!$K$9</f>
        <v>200</v>
      </c>
      <c r="AR442" s="124">
        <v>1200</v>
      </c>
      <c r="AS442" s="187"/>
      <c r="AT442" s="124"/>
      <c r="AV442"/>
      <c r="AX442" s="10"/>
      <c r="AY442" s="11"/>
      <c r="AZ442" s="2"/>
      <c r="BC442"/>
    </row>
    <row r="443" spans="1:55" hidden="1" x14ac:dyDescent="0.25">
      <c r="A443" s="12" t="str">
        <f ca="1">IF(F443+G443+H443+I443+J443+D443+E443=3,IF(Tabelle2[[#This Row],[Kappe Weiß]]=Limits!$R$29,1,""),"")</f>
        <v/>
      </c>
      <c r="B443" s="12" t="str">
        <f ca="1">IF(G443+H443+I443+J443+E443+F443=2,IF(Tabelle2[[#This Row],[Kappe Weiß]]=Limits!$R$29,1,""),"")</f>
        <v/>
      </c>
      <c r="C443" s="291">
        <v>0</v>
      </c>
      <c r="D443" s="207">
        <f>IF(Limits!$P$7=TRUE,1,0)</f>
        <v>0</v>
      </c>
      <c r="E443" s="172">
        <f>IF(Daten!$P443+Daten!$Q443+Daten!$S443=3,1,0)</f>
        <v>0</v>
      </c>
      <c r="F443" s="173">
        <f ca="1">IF(AND(Limits!$Q$21=TRUE,Daten!O443=1)=TRUE,1,0)</f>
        <v>0</v>
      </c>
      <c r="G443" s="174">
        <f>IF(AND(Limits!$Q$25=TRUE,Daten!N443=1)=TRUE,1,0)</f>
        <v>0</v>
      </c>
      <c r="H443" s="174">
        <f>IF(AND(Limits!$Q$24=TRUE,Daten!M443=1)=TRUE,1,0)</f>
        <v>0</v>
      </c>
      <c r="I443" s="174">
        <f>IF(AND(Limits!$Q$23=TRUE,Daten!L443=1)=TRUE,1,0)</f>
        <v>0</v>
      </c>
      <c r="J443" s="174">
        <f>IF(AND(Limits!$Q$22=TRUE,Daten!K443=1)=TRUE,1,0)</f>
        <v>0</v>
      </c>
      <c r="K443" s="188">
        <f>IF(Daten!$V443=13,1,0)</f>
        <v>0</v>
      </c>
      <c r="L443" s="189">
        <f>IF(Daten!$V443&lt;&gt;Daten!$W443,1,IF(Daten!$V443=14,1,0))</f>
        <v>0</v>
      </c>
      <c r="M443" s="189">
        <f>IF(Daten!$V443&lt;&gt;Daten!$W443,1,IF(Daten!$V443=16,1,0))</f>
        <v>0</v>
      </c>
      <c r="N443" s="189">
        <f>IF(Daten!$W443=17,1,0)</f>
        <v>1</v>
      </c>
      <c r="O443" s="190">
        <f ca="1">IF(Daten!$X443=Sprache!$A$70,1,0)</f>
        <v>0</v>
      </c>
      <c r="P443" s="191">
        <f>IF(AND(Daten!$AQ443&lt;=KINVARO!$AW$3,Daten!$AR443&gt;=KINVARO!$AW$3)=TRUE,1,0)</f>
        <v>1</v>
      </c>
      <c r="Q443" s="192">
        <f>IF(AND(Daten!$AA443&lt;=KINVARO!$AW$4,Daten!$AB443&gt;=KINVARO!$AW$4)=TRUE,1,0)</f>
        <v>0</v>
      </c>
      <c r="R443" s="192"/>
      <c r="S443" s="192">
        <f>IF(AND(Daten!$AD443&lt;=Limits!$I$70,Daten!$AE443&gt;=Limits!$I$70)=TRUE,1,0)</f>
        <v>0</v>
      </c>
      <c r="T443" s="193">
        <f ca="1">IF(Daten!$Y443=Sprache!$A$135,1,0)</f>
        <v>0</v>
      </c>
      <c r="U443" s="124" t="str">
        <f ca="1">Sprache!$A$67</f>
        <v>T-70 Поворотный подъемник</v>
      </c>
      <c r="V443" s="194">
        <v>17</v>
      </c>
      <c r="W443" s="193">
        <v>17</v>
      </c>
      <c r="X443" s="187" t="str">
        <f ca="1">Sprache!$A$141</f>
        <v>Alu</v>
      </c>
      <c r="Y443" s="187" t="str">
        <f ca="1">Sprache!$A$136</f>
        <v>nein</v>
      </c>
      <c r="Z443" s="187" t="str">
        <f ca="1">Sprache!$A$79</f>
        <v>Створка</v>
      </c>
      <c r="AA443" s="187">
        <v>600</v>
      </c>
      <c r="AB443" s="124">
        <v>600</v>
      </c>
      <c r="AC443" s="187"/>
      <c r="AD443" s="195">
        <v>1.4</v>
      </c>
      <c r="AE443" s="196">
        <v>4.2</v>
      </c>
      <c r="AF443" s="263" t="str">
        <f>MID(Tabelle2[[#This Row],[bnr full]],1,4)</f>
        <v>F151</v>
      </c>
      <c r="AG443" s="264" t="str">
        <f>MID(Tabelle2[[#This Row],[bnr full]],5,3)</f>
        <v>147</v>
      </c>
      <c r="AH443" s="265" t="str">
        <f>MID(Tabelle2[[#This Row],[bnr full]],8,3)</f>
        <v>691</v>
      </c>
      <c r="AI443" s="264" t="str">
        <f>MID(Tabelle2[[#This Row],[bnr full]],11,3)</f>
        <v>201</v>
      </c>
      <c r="AJ443" s="252" t="str">
        <f>MID(Tabelle2[[#This Row],[bnr full]],11,3)</f>
        <v>201</v>
      </c>
      <c r="AK443" s="197" t="s">
        <v>803</v>
      </c>
      <c r="AL443" s="124" t="str">
        <f ca="1">Sprache!$A$111</f>
        <v>Комплект (Л + П)</v>
      </c>
      <c r="AM443" s="187" t="s">
        <v>25</v>
      </c>
      <c r="AN443" s="187" t="str">
        <f ca="1">Sprache!$A$128</f>
        <v>Пружина, оранжевая</v>
      </c>
      <c r="AO443" s="187" t="s">
        <v>25</v>
      </c>
      <c r="AP443" s="187" t="s">
        <v>25</v>
      </c>
      <c r="AQ443" s="187">
        <f>Limits!$K$9</f>
        <v>200</v>
      </c>
      <c r="AR443" s="124">
        <v>1200</v>
      </c>
      <c r="AS443" s="187"/>
      <c r="AT443" s="124"/>
      <c r="AV443"/>
      <c r="AX443" s="10"/>
      <c r="AY443" s="11"/>
      <c r="AZ443" s="2"/>
      <c r="BC443"/>
    </row>
    <row r="444" spans="1:55" ht="15.75" hidden="1" thickTop="1" x14ac:dyDescent="0.25">
      <c r="A444" s="12" t="str">
        <f ca="1">IF(F444+G444+H444+I444+J444+D444+E444=3,IF(Tabelle2[[#This Row],[Kappe Weiß]]=Limits!$R$29,1,""),"")</f>
        <v/>
      </c>
      <c r="B444" s="12" t="str">
        <f ca="1">IF(G444+H444+I444+J444+E444+F444=2,IF(Tabelle2[[#This Row],[Kappe Weiß]]=Limits!$R$29,1,""),"")</f>
        <v/>
      </c>
      <c r="C444" s="293">
        <v>1</v>
      </c>
      <c r="D444" s="171">
        <f>IF(Limits!$P$7=TRUE,1,0)</f>
        <v>0</v>
      </c>
      <c r="E444" s="172">
        <f>IF(Daten!$P444+Daten!$Q444+Daten!$S444=3,1,0)</f>
        <v>0</v>
      </c>
      <c r="F444" s="173">
        <f ca="1">IF(AND(Limits!$Q$21=TRUE,Daten!O444=1)=TRUE,1,0)</f>
        <v>1</v>
      </c>
      <c r="G444" s="174">
        <f ca="1">IF(AND(Limits!$Q$25=TRUE,Daten!N444=1)=TRUE,1,0)</f>
        <v>0</v>
      </c>
      <c r="H444" s="174">
        <f ca="1">IF(AND(Limits!$Q$24=TRUE,Daten!M444=1)=TRUE,1,0)</f>
        <v>0</v>
      </c>
      <c r="I444" s="174">
        <f ca="1">IF(AND(Limits!$Q$23=TRUE,Daten!L444=1)=TRUE,1,0)</f>
        <v>0</v>
      </c>
      <c r="J444" s="174">
        <f ca="1">IF(AND(Limits!$Q$22=TRUE,Daten!K444=1)=TRUE,1,0)</f>
        <v>0</v>
      </c>
      <c r="K444" s="188">
        <f ca="1">IF(Daten!$V444=13,1,0)</f>
        <v>0</v>
      </c>
      <c r="L444" s="189">
        <f ca="1">IF(Daten!$V444&lt;&gt;Daten!$W444,1,IF(Daten!$V444=14,1,0))</f>
        <v>0</v>
      </c>
      <c r="M444" s="189">
        <f ca="1">IF(Daten!$V444&lt;&gt;Daten!$W444,1,IF(Daten!$V444=16,1,0))</f>
        <v>0</v>
      </c>
      <c r="N444" s="189">
        <f ca="1">IF(Daten!$W444=17,1,0)</f>
        <v>0</v>
      </c>
      <c r="O444" s="190">
        <f ca="1">IF(Daten!$X444=Sprache!$A$70,1,0)</f>
        <v>1</v>
      </c>
      <c r="P444" s="208">
        <f>IF(AND(Daten!$AQ444&lt;=KINVARO!$AW$3,Daten!$AR444&gt;=KINVARO!$AW$3)=TRUE,1,0)</f>
        <v>1</v>
      </c>
      <c r="Q444" s="209">
        <f>IF(AND(Daten!$AA444&lt;=KINVARO!$AW$4,Daten!$AB444&gt;=KINVARO!$AW$4)=TRUE,1,0)</f>
        <v>0</v>
      </c>
      <c r="R444" s="209"/>
      <c r="S444" s="209">
        <f>IF(AND(Daten!$AD444&lt;=Limits!$I$70,Daten!$AE444&gt;=Limits!$I$70)=TRUE,1,0)</f>
        <v>0</v>
      </c>
      <c r="T444" s="210">
        <f ca="1">IF(Daten!$Y444=Sprache!$A$135,1,0)</f>
        <v>0</v>
      </c>
      <c r="U444" s="211" t="str">
        <f ca="1">Sprache!$A$67</f>
        <v>T-70 Поворотный подъемник</v>
      </c>
      <c r="V444" s="212" t="str">
        <f ca="1">Sprache!$A$74</f>
        <v>var</v>
      </c>
      <c r="W444" s="210" t="str">
        <f ca="1">Sprache!$A$74</f>
        <v>var</v>
      </c>
      <c r="X444" s="213" t="str">
        <f ca="1">Sprache!$A$70</f>
        <v>соединение с древесиной</v>
      </c>
      <c r="Y444" s="213" t="str">
        <f ca="1">Sprache!$A$136</f>
        <v>nein</v>
      </c>
      <c r="Z444" s="213" t="str">
        <f ca="1">Sprache!$A$79</f>
        <v>Створка</v>
      </c>
      <c r="AA444" s="213">
        <v>300</v>
      </c>
      <c r="AB444" s="211">
        <v>349</v>
      </c>
      <c r="AC444" s="213"/>
      <c r="AD444" s="214">
        <v>2.1</v>
      </c>
      <c r="AE444" s="215">
        <v>7.4</v>
      </c>
      <c r="AF444" s="269" t="str">
        <f>MID(Tabelle2[[#This Row],[bnr full]],1,4)</f>
        <v>F151</v>
      </c>
      <c r="AG444" s="270" t="str">
        <f>MID(Tabelle2[[#This Row],[bnr full]],5,3)</f>
        <v>147</v>
      </c>
      <c r="AH444" s="271" t="str">
        <f>MID(Tabelle2[[#This Row],[bnr full]],8,3)</f>
        <v>693</v>
      </c>
      <c r="AI444" s="270" t="str">
        <f>MID(Tabelle2[[#This Row],[bnr full]],11,3)</f>
        <v>201</v>
      </c>
      <c r="AJ444" s="254" t="str">
        <f>MID(Tabelle2[[#This Row],[bnr full]],11,3)</f>
        <v>201</v>
      </c>
      <c r="AK444" s="216" t="s">
        <v>1662</v>
      </c>
      <c r="AL444" s="211" t="str">
        <f ca="1">Sprache!$A$111</f>
        <v>Комплект (Л + П)</v>
      </c>
      <c r="AM444" s="213" t="s">
        <v>25</v>
      </c>
      <c r="AN444" s="213" t="str">
        <f ca="1">Sprache!$A$127</f>
        <v>Пружина, белая</v>
      </c>
      <c r="AO444" s="213" t="s">
        <v>25</v>
      </c>
      <c r="AP444" s="213" t="s">
        <v>25</v>
      </c>
      <c r="AQ444" s="213">
        <f>Limits!$K$9</f>
        <v>200</v>
      </c>
      <c r="AR444" s="211">
        <v>1200</v>
      </c>
      <c r="AS444" s="187"/>
      <c r="AT444" s="124"/>
      <c r="AV444"/>
      <c r="AX444" s="10"/>
      <c r="AY444" s="11"/>
      <c r="AZ444" s="2"/>
      <c r="BC444"/>
    </row>
    <row r="445" spans="1:55" hidden="1" x14ac:dyDescent="0.25">
      <c r="A445" s="12" t="str">
        <f ca="1">IF(F445+G445+H445+I445+J445+D445+E445=3,IF(Tabelle2[[#This Row],[Kappe Weiß]]=Limits!$R$29,1,""),"")</f>
        <v/>
      </c>
      <c r="B445" s="12" t="str">
        <f ca="1">IF(G445+H445+I445+J445+E445+F445=2,IF(Tabelle2[[#This Row],[Kappe Weiß]]=Limits!$R$29,1,""),"")</f>
        <v/>
      </c>
      <c r="C445" s="291">
        <v>1</v>
      </c>
      <c r="D445" s="171">
        <f>IF(Limits!$P$7=TRUE,1,0)</f>
        <v>0</v>
      </c>
      <c r="E445" s="172">
        <f>IF(Daten!$P445+Daten!$Q445+Daten!$S445=3,1,0)</f>
        <v>0</v>
      </c>
      <c r="F445" s="173">
        <f ca="1">IF(AND(Limits!$Q$21=TRUE,Daten!O445=1)=TRUE,1,0)</f>
        <v>1</v>
      </c>
      <c r="G445" s="174">
        <f ca="1">IF(AND(Limits!$Q$25=TRUE,Daten!N445=1)=TRUE,1,0)</f>
        <v>0</v>
      </c>
      <c r="H445" s="174">
        <f ca="1">IF(AND(Limits!$Q$24=TRUE,Daten!M445=1)=TRUE,1,0)</f>
        <v>0</v>
      </c>
      <c r="I445" s="174">
        <f ca="1">IF(AND(Limits!$Q$23=TRUE,Daten!L445=1)=TRUE,1,0)</f>
        <v>0</v>
      </c>
      <c r="J445" s="174">
        <f ca="1">IF(AND(Limits!$Q$22=TRUE,Daten!K445=1)=TRUE,1,0)</f>
        <v>0</v>
      </c>
      <c r="K445" s="188">
        <f ca="1">IF(Daten!$V445=13,1,0)</f>
        <v>0</v>
      </c>
      <c r="L445" s="189">
        <f ca="1">IF(Daten!$V445&lt;&gt;Daten!$W445,1,IF(Daten!$V445=14,1,0))</f>
        <v>0</v>
      </c>
      <c r="M445" s="189">
        <f ca="1">IF(Daten!$V445&lt;&gt;Daten!$W445,1,IF(Daten!$V445=16,1,0))</f>
        <v>0</v>
      </c>
      <c r="N445" s="189">
        <f ca="1">IF(Daten!$W445=17,1,0)</f>
        <v>0</v>
      </c>
      <c r="O445" s="190">
        <f ca="1">IF(Daten!$X445=Sprache!$A$70,1,0)</f>
        <v>1</v>
      </c>
      <c r="P445" s="191">
        <f>IF(AND(Daten!$AQ445&lt;=KINVARO!$AW$3,Daten!$AR445&gt;=KINVARO!$AW$3)=TRUE,1,0)</f>
        <v>1</v>
      </c>
      <c r="Q445" s="192">
        <f>IF(AND(Daten!$AA445&lt;=KINVARO!$AW$4,Daten!$AB445&gt;=KINVARO!$AW$4)=TRUE,1,0)</f>
        <v>0</v>
      </c>
      <c r="R445" s="192"/>
      <c r="S445" s="192">
        <f>IF(AND(Daten!$AD445&lt;=Limits!$I$70,Daten!$AE445&gt;=Limits!$I$70)=TRUE,1,0)</f>
        <v>0</v>
      </c>
      <c r="T445" s="193">
        <f ca="1">IF(Daten!$Y445=Sprache!$A$135,1,0)</f>
        <v>0</v>
      </c>
      <c r="U445" s="124" t="str">
        <f ca="1">Sprache!$A$67</f>
        <v>T-70 Поворотный подъемник</v>
      </c>
      <c r="V445" s="194" t="str">
        <f ca="1">Sprache!$A$74</f>
        <v>var</v>
      </c>
      <c r="W445" s="193" t="str">
        <f ca="1">Sprache!$A$74</f>
        <v>var</v>
      </c>
      <c r="X445" s="187" t="str">
        <f ca="1">Sprache!$A$70</f>
        <v>соединение с древесиной</v>
      </c>
      <c r="Y445" s="187" t="str">
        <f ca="1">Sprache!$A$136</f>
        <v>nein</v>
      </c>
      <c r="Z445" s="187" t="str">
        <f ca="1">Sprache!$A$79</f>
        <v>Створка</v>
      </c>
      <c r="AA445" s="187">
        <v>300</v>
      </c>
      <c r="AB445" s="124">
        <v>349</v>
      </c>
      <c r="AC445" s="187"/>
      <c r="AD445" s="195">
        <v>2.5</v>
      </c>
      <c r="AE445" s="196">
        <v>8.5</v>
      </c>
      <c r="AF445" s="263" t="str">
        <f>MID(Tabelle2[[#This Row],[bnr full]],1,4)</f>
        <v>F151</v>
      </c>
      <c r="AG445" s="264" t="str">
        <f>MID(Tabelle2[[#This Row],[bnr full]],5,3)</f>
        <v>147</v>
      </c>
      <c r="AH445" s="265" t="str">
        <f>MID(Tabelle2[[#This Row],[bnr full]],8,3)</f>
        <v>693</v>
      </c>
      <c r="AI445" s="264" t="str">
        <f>MID(Tabelle2[[#This Row],[bnr full]],11,3)</f>
        <v>201</v>
      </c>
      <c r="AJ445" s="252" t="str">
        <f>MID(Tabelle2[[#This Row],[bnr full]],11,3)</f>
        <v>201</v>
      </c>
      <c r="AK445" s="197" t="s">
        <v>1662</v>
      </c>
      <c r="AL445" s="124" t="str">
        <f ca="1">Sprache!$A$111</f>
        <v>Комплект (Л + П)</v>
      </c>
      <c r="AM445" s="187" t="s">
        <v>25</v>
      </c>
      <c r="AN445" s="187" t="str">
        <f ca="1">Sprache!$A$128</f>
        <v>Пружина, оранжевая</v>
      </c>
      <c r="AO445" s="187" t="s">
        <v>25</v>
      </c>
      <c r="AP445" s="187" t="s">
        <v>25</v>
      </c>
      <c r="AQ445" s="187">
        <f>Limits!$K$9</f>
        <v>200</v>
      </c>
      <c r="AR445" s="124">
        <v>1200</v>
      </c>
      <c r="AS445" s="187"/>
      <c r="AT445" s="124"/>
      <c r="AV445"/>
      <c r="AX445" s="10"/>
      <c r="AY445" s="11"/>
      <c r="AZ445" s="2"/>
      <c r="BC445"/>
    </row>
    <row r="446" spans="1:55" hidden="1" x14ac:dyDescent="0.25">
      <c r="A446" s="12" t="str">
        <f ca="1">IF(F446+G446+H446+I446+J446+D446+E446=3,IF(Tabelle2[[#This Row],[Kappe Weiß]]=Limits!$R$29,1,""),"")</f>
        <v/>
      </c>
      <c r="B446" s="12" t="str">
        <f ca="1">IF(G446+H446+I446+J446+E446+F446=2,IF(Tabelle2[[#This Row],[Kappe Weiß]]=Limits!$R$29,1,""),"")</f>
        <v/>
      </c>
      <c r="C446" s="291">
        <v>1</v>
      </c>
      <c r="D446" s="171">
        <f>IF(Limits!$P$7=TRUE,1,0)</f>
        <v>0</v>
      </c>
      <c r="E446" s="172">
        <f>IF(Daten!$P446+Daten!$Q446+Daten!$S446=3,1,0)</f>
        <v>0</v>
      </c>
      <c r="F446" s="173">
        <f ca="1">IF(AND(Limits!$Q$21=TRUE,Daten!O446=1)=TRUE,1,0)</f>
        <v>0</v>
      </c>
      <c r="G446" s="174">
        <f>IF(AND(Limits!$Q$25=TRUE,Daten!N446=1)=TRUE,1,0)</f>
        <v>0</v>
      </c>
      <c r="H446" s="174">
        <f>IF(AND(Limits!$Q$24=TRUE,Daten!M446=1)=TRUE,1,0)</f>
        <v>0</v>
      </c>
      <c r="I446" s="174">
        <f>IF(AND(Limits!$Q$23=TRUE,Daten!L446=1)=TRUE,1,0)</f>
        <v>0</v>
      </c>
      <c r="J446" s="174">
        <f>IF(AND(Limits!$Q$22=TRUE,Daten!K446=1)=TRUE,1,0)</f>
        <v>0</v>
      </c>
      <c r="K446" s="188">
        <f>IF(Daten!$V446=13,1,0)</f>
        <v>1</v>
      </c>
      <c r="L446" s="189">
        <f>IF(Daten!$V446&lt;&gt;Daten!$W446,1,IF(Daten!$V446=14,1,0))</f>
        <v>0</v>
      </c>
      <c r="M446" s="189">
        <f>IF(Daten!$V446&lt;&gt;Daten!$W446,1,IF(Daten!$V446=16,1,0))</f>
        <v>0</v>
      </c>
      <c r="N446" s="189">
        <f>IF(Daten!$W446=17,1,0)</f>
        <v>0</v>
      </c>
      <c r="O446" s="190">
        <f ca="1">IF(Daten!$X446=Sprache!$A$70,1,0)</f>
        <v>0</v>
      </c>
      <c r="P446" s="191">
        <f>IF(AND(Daten!$AQ446&lt;=KINVARO!$AW$3,Daten!$AR446&gt;=KINVARO!$AW$3)=TRUE,1,0)</f>
        <v>1</v>
      </c>
      <c r="Q446" s="192">
        <f>IF(AND(Daten!$AA446&lt;=KINVARO!$AW$4,Daten!$AB446&gt;=KINVARO!$AW$4)=TRUE,1,0)</f>
        <v>0</v>
      </c>
      <c r="R446" s="192"/>
      <c r="S446" s="192">
        <f>IF(AND(Daten!$AD446&lt;=Limits!$I$70,Daten!$AE446&gt;=Limits!$I$70)=TRUE,1,0)</f>
        <v>0</v>
      </c>
      <c r="T446" s="193">
        <f ca="1">IF(Daten!$Y446=Sprache!$A$135,1,0)</f>
        <v>0</v>
      </c>
      <c r="U446" s="124" t="str">
        <f ca="1">Sprache!$A$67</f>
        <v>T-70 Поворотный подъемник</v>
      </c>
      <c r="V446" s="194">
        <v>13</v>
      </c>
      <c r="W446" s="193">
        <v>13</v>
      </c>
      <c r="X446" s="187" t="str">
        <f ca="1">Sprache!$A$141</f>
        <v>Alu</v>
      </c>
      <c r="Y446" s="187" t="str">
        <f ca="1">Sprache!$A$136</f>
        <v>nein</v>
      </c>
      <c r="Z446" s="187" t="str">
        <f ca="1">Sprache!$A$79</f>
        <v>Створка</v>
      </c>
      <c r="AA446" s="187">
        <v>300</v>
      </c>
      <c r="AB446" s="124">
        <v>349</v>
      </c>
      <c r="AC446" s="187"/>
      <c r="AD446" s="195">
        <v>2.1</v>
      </c>
      <c r="AE446" s="196">
        <v>7.4</v>
      </c>
      <c r="AF446" s="263" t="str">
        <f>MID(Tabelle2[[#This Row],[bnr full]],1,4)</f>
        <v>F151</v>
      </c>
      <c r="AG446" s="264" t="str">
        <f>MID(Tabelle2[[#This Row],[bnr full]],5,3)</f>
        <v>147</v>
      </c>
      <c r="AH446" s="265" t="str">
        <f>MID(Tabelle2[[#This Row],[bnr full]],8,3)</f>
        <v>807</v>
      </c>
      <c r="AI446" s="264" t="str">
        <f>MID(Tabelle2[[#This Row],[bnr full]],11,3)</f>
        <v>201</v>
      </c>
      <c r="AJ446" s="252" t="str">
        <f>MID(Tabelle2[[#This Row],[bnr full]],11,3)</f>
        <v>201</v>
      </c>
      <c r="AK446" s="197" t="s">
        <v>1663</v>
      </c>
      <c r="AL446" s="124" t="str">
        <f ca="1">Sprache!$A$111</f>
        <v>Комплект (Л + П)</v>
      </c>
      <c r="AM446" s="187" t="s">
        <v>25</v>
      </c>
      <c r="AN446" s="187" t="str">
        <f ca="1">Sprache!$A$127</f>
        <v>Пружина, белая</v>
      </c>
      <c r="AO446" s="187" t="s">
        <v>25</v>
      </c>
      <c r="AP446" s="187" t="s">
        <v>25</v>
      </c>
      <c r="AQ446" s="187">
        <f>Limits!$K$9</f>
        <v>200</v>
      </c>
      <c r="AR446" s="124">
        <v>1200</v>
      </c>
      <c r="AS446" s="187"/>
      <c r="AT446" s="124"/>
      <c r="AV446"/>
      <c r="AX446" s="10"/>
      <c r="AY446" s="11"/>
      <c r="AZ446" s="2"/>
      <c r="BC446"/>
    </row>
    <row r="447" spans="1:55" hidden="1" x14ac:dyDescent="0.25">
      <c r="A447" s="12" t="str">
        <f ca="1">IF(F447+G447+H447+I447+J447+D447+E447=3,IF(Tabelle2[[#This Row],[Kappe Weiß]]=Limits!$R$29,1,""),"")</f>
        <v/>
      </c>
      <c r="B447" s="12" t="str">
        <f ca="1">IF(G447+H447+I447+J447+E447+F447=2,IF(Tabelle2[[#This Row],[Kappe Weiß]]=Limits!$R$29,1,""),"")</f>
        <v/>
      </c>
      <c r="C447" s="291">
        <v>1</v>
      </c>
      <c r="D447" s="171">
        <f>IF(Limits!$P$7=TRUE,1,0)</f>
        <v>0</v>
      </c>
      <c r="E447" s="172">
        <f>IF(Daten!$P447+Daten!$Q447+Daten!$S447=3,1,0)</f>
        <v>0</v>
      </c>
      <c r="F447" s="173">
        <f ca="1">IF(AND(Limits!$Q$21=TRUE,Daten!O447=1)=TRUE,1,0)</f>
        <v>0</v>
      </c>
      <c r="G447" s="174">
        <f>IF(AND(Limits!$Q$25=TRUE,Daten!N447=1)=TRUE,1,0)</f>
        <v>0</v>
      </c>
      <c r="H447" s="174">
        <f>IF(AND(Limits!$Q$24=TRUE,Daten!M447=1)=TRUE,1,0)</f>
        <v>0</v>
      </c>
      <c r="I447" s="174">
        <f>IF(AND(Limits!$Q$23=TRUE,Daten!L447=1)=TRUE,1,0)</f>
        <v>0</v>
      </c>
      <c r="J447" s="174">
        <f>IF(AND(Limits!$Q$22=TRUE,Daten!K447=1)=TRUE,1,0)</f>
        <v>0</v>
      </c>
      <c r="K447" s="188">
        <f>IF(Daten!$V447=13,1,0)</f>
        <v>1</v>
      </c>
      <c r="L447" s="189">
        <f>IF(Daten!$V447&lt;&gt;Daten!$W447,1,IF(Daten!$V447=14,1,0))</f>
        <v>0</v>
      </c>
      <c r="M447" s="189">
        <f>IF(Daten!$V447&lt;&gt;Daten!$W447,1,IF(Daten!$V447=16,1,0))</f>
        <v>0</v>
      </c>
      <c r="N447" s="189">
        <f>IF(Daten!$W447=17,1,0)</f>
        <v>0</v>
      </c>
      <c r="O447" s="190">
        <f ca="1">IF(Daten!$X447=Sprache!$A$70,1,0)</f>
        <v>0</v>
      </c>
      <c r="P447" s="191">
        <f>IF(AND(Daten!$AQ447&lt;=KINVARO!$AW$3,Daten!$AR447&gt;=KINVARO!$AW$3)=TRUE,1,0)</f>
        <v>1</v>
      </c>
      <c r="Q447" s="192">
        <f>IF(AND(Daten!$AA447&lt;=KINVARO!$AW$4,Daten!$AB447&gt;=KINVARO!$AW$4)=TRUE,1,0)</f>
        <v>0</v>
      </c>
      <c r="R447" s="192"/>
      <c r="S447" s="192">
        <f>IF(AND(Daten!$AD447&lt;=Limits!$I$70,Daten!$AE447&gt;=Limits!$I$70)=TRUE,1,0)</f>
        <v>0</v>
      </c>
      <c r="T447" s="193">
        <f ca="1">IF(Daten!$Y447=Sprache!$A$135,1,0)</f>
        <v>0</v>
      </c>
      <c r="U447" s="124" t="str">
        <f ca="1">Sprache!$A$67</f>
        <v>T-70 Поворотный подъемник</v>
      </c>
      <c r="V447" s="194">
        <v>13</v>
      </c>
      <c r="W447" s="193">
        <v>13</v>
      </c>
      <c r="X447" s="187" t="str">
        <f ca="1">Sprache!$A$141</f>
        <v>Alu</v>
      </c>
      <c r="Y447" s="187" t="str">
        <f ca="1">Sprache!$A$136</f>
        <v>nein</v>
      </c>
      <c r="Z447" s="187" t="str">
        <f ca="1">Sprache!$A$79</f>
        <v>Створка</v>
      </c>
      <c r="AA447" s="187">
        <v>300</v>
      </c>
      <c r="AB447" s="124">
        <v>349</v>
      </c>
      <c r="AC447" s="187"/>
      <c r="AD447" s="195">
        <v>2.5</v>
      </c>
      <c r="AE447" s="196">
        <v>8.5</v>
      </c>
      <c r="AF447" s="263" t="str">
        <f>MID(Tabelle2[[#This Row],[bnr full]],1,4)</f>
        <v>F151</v>
      </c>
      <c r="AG447" s="264" t="str">
        <f>MID(Tabelle2[[#This Row],[bnr full]],5,3)</f>
        <v>147</v>
      </c>
      <c r="AH447" s="265" t="str">
        <f>MID(Tabelle2[[#This Row],[bnr full]],8,3)</f>
        <v>807</v>
      </c>
      <c r="AI447" s="264" t="str">
        <f>MID(Tabelle2[[#This Row],[bnr full]],11,3)</f>
        <v>201</v>
      </c>
      <c r="AJ447" s="252" t="str">
        <f>MID(Tabelle2[[#This Row],[bnr full]],11,3)</f>
        <v>201</v>
      </c>
      <c r="AK447" s="197" t="s">
        <v>1663</v>
      </c>
      <c r="AL447" s="124" t="str">
        <f ca="1">Sprache!$A$111</f>
        <v>Комплект (Л + П)</v>
      </c>
      <c r="AM447" s="187" t="s">
        <v>25</v>
      </c>
      <c r="AN447" s="187" t="str">
        <f ca="1">Sprache!$A$128</f>
        <v>Пружина, оранжевая</v>
      </c>
      <c r="AO447" s="187" t="s">
        <v>25</v>
      </c>
      <c r="AP447" s="187" t="s">
        <v>25</v>
      </c>
      <c r="AQ447" s="187">
        <f>Limits!$K$9</f>
        <v>200</v>
      </c>
      <c r="AR447" s="124">
        <v>1200</v>
      </c>
      <c r="AS447" s="187"/>
      <c r="AT447" s="124"/>
      <c r="AV447"/>
      <c r="AX447" s="10"/>
      <c r="AY447" s="11"/>
      <c r="AZ447" s="2"/>
      <c r="BC447"/>
    </row>
    <row r="448" spans="1:55" hidden="1" x14ac:dyDescent="0.25">
      <c r="A448" s="12" t="str">
        <f ca="1">IF(F448+G448+H448+I448+J448+D448+E448=3,IF(Tabelle2[[#This Row],[Kappe Weiß]]=Limits!$R$29,1,""),"")</f>
        <v/>
      </c>
      <c r="B448" s="12" t="str">
        <f ca="1">IF(G448+H448+I448+J448+E448+F448=2,IF(Tabelle2[[#This Row],[Kappe Weiß]]=Limits!$R$29,1,""),"")</f>
        <v/>
      </c>
      <c r="C448" s="291">
        <v>1</v>
      </c>
      <c r="D448" s="171">
        <f>IF(Limits!$P$7=TRUE,1,0)</f>
        <v>0</v>
      </c>
      <c r="E448" s="172">
        <f>IF(Daten!$P448+Daten!$Q448+Daten!$S448=3,1,0)</f>
        <v>0</v>
      </c>
      <c r="F448" s="173">
        <f ca="1">IF(AND(Limits!$Q$21=TRUE,Daten!O448=1)=TRUE,1,0)</f>
        <v>0</v>
      </c>
      <c r="G448" s="174">
        <f>IF(AND(Limits!$Q$25=TRUE,Daten!N448=1)=TRUE,1,0)</f>
        <v>0</v>
      </c>
      <c r="H448" s="174">
        <f>IF(AND(Limits!$Q$24=TRUE,Daten!M448=1)=TRUE,1,0)</f>
        <v>0</v>
      </c>
      <c r="I448" s="174">
        <f>IF(AND(Limits!$Q$23=TRUE,Daten!L448=1)=TRUE,1,0)</f>
        <v>0</v>
      </c>
      <c r="J448" s="174">
        <f>IF(AND(Limits!$Q$22=TRUE,Daten!K448=1)=TRUE,1,0)</f>
        <v>0</v>
      </c>
      <c r="K448" s="188">
        <f>IF(Daten!$V448=13,1,0)</f>
        <v>0</v>
      </c>
      <c r="L448" s="189">
        <f>IF(Daten!$V448&lt;&gt;Daten!$W448,1,IF(Daten!$V448=14,1,0))</f>
        <v>1</v>
      </c>
      <c r="M448" s="189">
        <f>IF(Daten!$V448&lt;&gt;Daten!$W448,1,IF(Daten!$V448=16,1,0))</f>
        <v>0</v>
      </c>
      <c r="N448" s="189">
        <f>IF(Daten!$W448=17,1,0)</f>
        <v>0</v>
      </c>
      <c r="O448" s="190">
        <f ca="1">IF(Daten!$X448=Sprache!$A$70,1,0)</f>
        <v>0</v>
      </c>
      <c r="P448" s="191">
        <f>IF(AND(Daten!$AQ448&lt;=KINVARO!$AW$3,Daten!$AR448&gt;=KINVARO!$AW$3)=TRUE,1,0)</f>
        <v>1</v>
      </c>
      <c r="Q448" s="192">
        <f>IF(AND(Daten!$AA448&lt;=KINVARO!$AW$4,Daten!$AB448&gt;=KINVARO!$AW$4)=TRUE,1,0)</f>
        <v>0</v>
      </c>
      <c r="R448" s="192"/>
      <c r="S448" s="192">
        <f>IF(AND(Daten!$AD448&lt;=Limits!$I$70,Daten!$AE448&gt;=Limits!$I$70)=TRUE,1,0)</f>
        <v>0</v>
      </c>
      <c r="T448" s="193">
        <f ca="1">IF(Daten!$Y448=Sprache!$A$135,1,0)</f>
        <v>0</v>
      </c>
      <c r="U448" s="124" t="str">
        <f ca="1">Sprache!$A$67</f>
        <v>T-70 Поворотный подъемник</v>
      </c>
      <c r="V448" s="194">
        <v>14</v>
      </c>
      <c r="W448" s="193">
        <v>14</v>
      </c>
      <c r="X448" s="187" t="str">
        <f ca="1">Sprache!$A$141</f>
        <v>Alu</v>
      </c>
      <c r="Y448" s="187" t="str">
        <f ca="1">Sprache!$A$136</f>
        <v>nein</v>
      </c>
      <c r="Z448" s="187" t="str">
        <f ca="1">Sprache!$A$79</f>
        <v>Створка</v>
      </c>
      <c r="AA448" s="187">
        <v>300</v>
      </c>
      <c r="AB448" s="124">
        <v>349</v>
      </c>
      <c r="AC448" s="187"/>
      <c r="AD448" s="195">
        <v>2.1</v>
      </c>
      <c r="AE448" s="196">
        <v>7.4</v>
      </c>
      <c r="AF448" s="263" t="str">
        <f>MID(Tabelle2[[#This Row],[bnr full]],1,4)</f>
        <v>F151</v>
      </c>
      <c r="AG448" s="264" t="str">
        <f>MID(Tabelle2[[#This Row],[bnr full]],5,3)</f>
        <v>147</v>
      </c>
      <c r="AH448" s="265" t="str">
        <f>MID(Tabelle2[[#This Row],[bnr full]],8,3)</f>
        <v>808</v>
      </c>
      <c r="AI448" s="264" t="str">
        <f>MID(Tabelle2[[#This Row],[bnr full]],11,3)</f>
        <v>201</v>
      </c>
      <c r="AJ448" s="252" t="str">
        <f>MID(Tabelle2[[#This Row],[bnr full]],11,3)</f>
        <v>201</v>
      </c>
      <c r="AK448" s="197" t="s">
        <v>1664</v>
      </c>
      <c r="AL448" s="124" t="str">
        <f ca="1">Sprache!$A$111</f>
        <v>Комплект (Л + П)</v>
      </c>
      <c r="AM448" s="187" t="s">
        <v>25</v>
      </c>
      <c r="AN448" s="187" t="str">
        <f ca="1">Sprache!$A$127</f>
        <v>Пружина, белая</v>
      </c>
      <c r="AO448" s="187" t="s">
        <v>25</v>
      </c>
      <c r="AP448" s="187" t="s">
        <v>25</v>
      </c>
      <c r="AQ448" s="187">
        <f>Limits!$K$9</f>
        <v>200</v>
      </c>
      <c r="AR448" s="124">
        <v>1200</v>
      </c>
      <c r="AS448" s="187"/>
      <c r="AT448" s="124"/>
      <c r="AV448"/>
      <c r="AX448" s="10"/>
      <c r="AY448" s="11"/>
      <c r="AZ448" s="2"/>
      <c r="BC448"/>
    </row>
    <row r="449" spans="1:55" hidden="1" x14ac:dyDescent="0.25">
      <c r="A449" s="12" t="str">
        <f ca="1">IF(F449+G449+H449+I449+J449+D449+E449=3,IF(Tabelle2[[#This Row],[Kappe Weiß]]=Limits!$R$29,1,""),"")</f>
        <v/>
      </c>
      <c r="B449" s="12" t="str">
        <f ca="1">IF(G449+H449+I449+J449+E449+F449=2,IF(Tabelle2[[#This Row],[Kappe Weiß]]=Limits!$R$29,1,""),"")</f>
        <v/>
      </c>
      <c r="C449" s="291">
        <v>1</v>
      </c>
      <c r="D449" s="171">
        <f>IF(Limits!$P$7=TRUE,1,0)</f>
        <v>0</v>
      </c>
      <c r="E449" s="172">
        <f>IF(Daten!$P449+Daten!$Q449+Daten!$S449=3,1,0)</f>
        <v>0</v>
      </c>
      <c r="F449" s="173">
        <f ca="1">IF(AND(Limits!$Q$21=TRUE,Daten!O449=1)=TRUE,1,0)</f>
        <v>0</v>
      </c>
      <c r="G449" s="174">
        <f>IF(AND(Limits!$Q$25=TRUE,Daten!N449=1)=TRUE,1,0)</f>
        <v>0</v>
      </c>
      <c r="H449" s="174">
        <f>IF(AND(Limits!$Q$24=TRUE,Daten!M449=1)=TRUE,1,0)</f>
        <v>0</v>
      </c>
      <c r="I449" s="174">
        <f>IF(AND(Limits!$Q$23=TRUE,Daten!L449=1)=TRUE,1,0)</f>
        <v>0</v>
      </c>
      <c r="J449" s="174">
        <f>IF(AND(Limits!$Q$22=TRUE,Daten!K449=1)=TRUE,1,0)</f>
        <v>0</v>
      </c>
      <c r="K449" s="188">
        <f>IF(Daten!$V449=13,1,0)</f>
        <v>0</v>
      </c>
      <c r="L449" s="189">
        <f>IF(Daten!$V449&lt;&gt;Daten!$W449,1,IF(Daten!$V449=14,1,0))</f>
        <v>1</v>
      </c>
      <c r="M449" s="189">
        <f>IF(Daten!$V449&lt;&gt;Daten!$W449,1,IF(Daten!$V449=16,1,0))</f>
        <v>0</v>
      </c>
      <c r="N449" s="189">
        <f>IF(Daten!$W449=17,1,0)</f>
        <v>0</v>
      </c>
      <c r="O449" s="190">
        <f ca="1">IF(Daten!$X449=Sprache!$A$70,1,0)</f>
        <v>0</v>
      </c>
      <c r="P449" s="191">
        <f>IF(AND(Daten!$AQ449&lt;=KINVARO!$AW$3,Daten!$AR449&gt;=KINVARO!$AW$3)=TRUE,1,0)</f>
        <v>1</v>
      </c>
      <c r="Q449" s="192">
        <f>IF(AND(Daten!$AA449&lt;=KINVARO!$AW$4,Daten!$AB449&gt;=KINVARO!$AW$4)=TRUE,1,0)</f>
        <v>0</v>
      </c>
      <c r="R449" s="192"/>
      <c r="S449" s="192">
        <f>IF(AND(Daten!$AD449&lt;=Limits!$I$70,Daten!$AE449&gt;=Limits!$I$70)=TRUE,1,0)</f>
        <v>0</v>
      </c>
      <c r="T449" s="193">
        <f ca="1">IF(Daten!$Y449=Sprache!$A$135,1,0)</f>
        <v>0</v>
      </c>
      <c r="U449" s="124" t="str">
        <f ca="1">Sprache!$A$67</f>
        <v>T-70 Поворотный подъемник</v>
      </c>
      <c r="V449" s="194">
        <v>14</v>
      </c>
      <c r="W449" s="193">
        <v>14</v>
      </c>
      <c r="X449" s="187" t="str">
        <f ca="1">Sprache!$A$141</f>
        <v>Alu</v>
      </c>
      <c r="Y449" s="187" t="str">
        <f ca="1">Sprache!$A$136</f>
        <v>nein</v>
      </c>
      <c r="Z449" s="187" t="str">
        <f ca="1">Sprache!$A$79</f>
        <v>Створка</v>
      </c>
      <c r="AA449" s="187">
        <v>300</v>
      </c>
      <c r="AB449" s="124">
        <v>349</v>
      </c>
      <c r="AC449" s="187"/>
      <c r="AD449" s="195">
        <v>2.5</v>
      </c>
      <c r="AE449" s="196">
        <v>8.5</v>
      </c>
      <c r="AF449" s="263" t="str">
        <f>MID(Tabelle2[[#This Row],[bnr full]],1,4)</f>
        <v>F151</v>
      </c>
      <c r="AG449" s="264" t="str">
        <f>MID(Tabelle2[[#This Row],[bnr full]],5,3)</f>
        <v>147</v>
      </c>
      <c r="AH449" s="265" t="str">
        <f>MID(Tabelle2[[#This Row],[bnr full]],8,3)</f>
        <v>808</v>
      </c>
      <c r="AI449" s="264" t="str">
        <f>MID(Tabelle2[[#This Row],[bnr full]],11,3)</f>
        <v>201</v>
      </c>
      <c r="AJ449" s="252" t="str">
        <f>MID(Tabelle2[[#This Row],[bnr full]],11,3)</f>
        <v>201</v>
      </c>
      <c r="AK449" s="197" t="s">
        <v>1664</v>
      </c>
      <c r="AL449" s="124" t="str">
        <f ca="1">Sprache!$A$111</f>
        <v>Комплект (Л + П)</v>
      </c>
      <c r="AM449" s="187" t="s">
        <v>25</v>
      </c>
      <c r="AN449" s="187" t="str">
        <f ca="1">Sprache!$A$128</f>
        <v>Пружина, оранжевая</v>
      </c>
      <c r="AO449" s="187" t="s">
        <v>25</v>
      </c>
      <c r="AP449" s="187" t="s">
        <v>25</v>
      </c>
      <c r="AQ449" s="187">
        <f>Limits!$K$9</f>
        <v>200</v>
      </c>
      <c r="AR449" s="124">
        <v>1200</v>
      </c>
      <c r="AS449" s="187"/>
      <c r="AT449" s="124"/>
      <c r="AV449"/>
      <c r="AX449" s="10"/>
      <c r="AY449" s="11"/>
      <c r="AZ449" s="2"/>
      <c r="BC449"/>
    </row>
    <row r="450" spans="1:55" hidden="1" x14ac:dyDescent="0.25">
      <c r="A450" s="12" t="str">
        <f ca="1">IF(F450+G450+H450+I450+J450+D450+E450=3,IF(Tabelle2[[#This Row],[Kappe Weiß]]=Limits!$R$29,1,""),"")</f>
        <v/>
      </c>
      <c r="B450" s="12" t="str">
        <f ca="1">IF(G450+H450+I450+J450+E450+F450=2,IF(Tabelle2[[#This Row],[Kappe Weiß]]=Limits!$R$29,1,""),"")</f>
        <v/>
      </c>
      <c r="C450" s="291">
        <v>1</v>
      </c>
      <c r="D450" s="171">
        <f>IF(Limits!$P$7=TRUE,1,0)</f>
        <v>0</v>
      </c>
      <c r="E450" s="172">
        <f>IF(Daten!$P450+Daten!$Q450+Daten!$S450=3,1,0)</f>
        <v>0</v>
      </c>
      <c r="F450" s="173">
        <f ca="1">IF(AND(Limits!$Q$21=TRUE,Daten!O450=1)=TRUE,1,0)</f>
        <v>0</v>
      </c>
      <c r="G450" s="174">
        <f>IF(AND(Limits!$Q$25=TRUE,Daten!N450=1)=TRUE,1,0)</f>
        <v>0</v>
      </c>
      <c r="H450" s="174">
        <f>IF(AND(Limits!$Q$24=TRUE,Daten!M450=1)=TRUE,1,0)</f>
        <v>0</v>
      </c>
      <c r="I450" s="174">
        <f>IF(AND(Limits!$Q$23=TRUE,Daten!L450=1)=TRUE,1,0)</f>
        <v>0</v>
      </c>
      <c r="J450" s="174">
        <f>IF(AND(Limits!$Q$22=TRUE,Daten!K450=1)=TRUE,1,0)</f>
        <v>0</v>
      </c>
      <c r="K450" s="188">
        <f>IF(Daten!$V450=13,1,0)</f>
        <v>0</v>
      </c>
      <c r="L450" s="189">
        <f>IF(Daten!$V450&lt;&gt;Daten!$W450,1,IF(Daten!$V450=14,1,0))</f>
        <v>0</v>
      </c>
      <c r="M450" s="189">
        <f>IF(Daten!$V450&lt;&gt;Daten!$W450,1,IF(Daten!$V450=16,1,0))</f>
        <v>1</v>
      </c>
      <c r="N450" s="189">
        <f>IF(Daten!$W450=17,1,0)</f>
        <v>0</v>
      </c>
      <c r="O450" s="190">
        <f ca="1">IF(Daten!$X450=Sprache!$A$70,1,0)</f>
        <v>0</v>
      </c>
      <c r="P450" s="191">
        <f>IF(AND(Daten!$AQ450&lt;=KINVARO!$AW$3,Daten!$AR450&gt;=KINVARO!$AW$3)=TRUE,1,0)</f>
        <v>1</v>
      </c>
      <c r="Q450" s="192">
        <f>IF(AND(Daten!$AA450&lt;=KINVARO!$AW$4,Daten!$AB450&gt;=KINVARO!$AW$4)=TRUE,1,0)</f>
        <v>0</v>
      </c>
      <c r="R450" s="192"/>
      <c r="S450" s="192">
        <f>IF(AND(Daten!$AD450&lt;=Limits!$I$70,Daten!$AE450&gt;=Limits!$I$70)=TRUE,1,0)</f>
        <v>0</v>
      </c>
      <c r="T450" s="193">
        <f ca="1">IF(Daten!$Y450=Sprache!$A$135,1,0)</f>
        <v>0</v>
      </c>
      <c r="U450" s="124" t="str">
        <f ca="1">Sprache!$A$67</f>
        <v>T-70 Поворотный подъемник</v>
      </c>
      <c r="V450" s="194">
        <v>16</v>
      </c>
      <c r="W450" s="193">
        <v>16</v>
      </c>
      <c r="X450" s="187" t="str">
        <f ca="1">Sprache!$A$141</f>
        <v>Alu</v>
      </c>
      <c r="Y450" s="187" t="str">
        <f ca="1">Sprache!$A$136</f>
        <v>nein</v>
      </c>
      <c r="Z450" s="187" t="str">
        <f ca="1">Sprache!$A$79</f>
        <v>Створка</v>
      </c>
      <c r="AA450" s="187">
        <v>300</v>
      </c>
      <c r="AB450" s="124">
        <v>349</v>
      </c>
      <c r="AC450" s="187"/>
      <c r="AD450" s="195">
        <v>2.1</v>
      </c>
      <c r="AE450" s="196">
        <v>7.4</v>
      </c>
      <c r="AF450" s="263" t="str">
        <f>MID(Tabelle2[[#This Row],[bnr full]],1,4)</f>
        <v>F151</v>
      </c>
      <c r="AG450" s="264" t="str">
        <f>MID(Tabelle2[[#This Row],[bnr full]],5,3)</f>
        <v>147</v>
      </c>
      <c r="AH450" s="265" t="str">
        <f>MID(Tabelle2[[#This Row],[bnr full]],8,3)</f>
        <v>809</v>
      </c>
      <c r="AI450" s="264" t="str">
        <f>MID(Tabelle2[[#This Row],[bnr full]],11,3)</f>
        <v>201</v>
      </c>
      <c r="AJ450" s="252" t="str">
        <f>MID(Tabelle2[[#This Row],[bnr full]],11,3)</f>
        <v>201</v>
      </c>
      <c r="AK450" s="197" t="s">
        <v>1665</v>
      </c>
      <c r="AL450" s="124" t="str">
        <f ca="1">Sprache!$A$111</f>
        <v>Комплект (Л + П)</v>
      </c>
      <c r="AM450" s="187" t="s">
        <v>25</v>
      </c>
      <c r="AN450" s="187" t="str">
        <f ca="1">Sprache!$A$127</f>
        <v>Пружина, белая</v>
      </c>
      <c r="AO450" s="187" t="s">
        <v>25</v>
      </c>
      <c r="AP450" s="187" t="s">
        <v>25</v>
      </c>
      <c r="AQ450" s="187">
        <f>Limits!$K$9</f>
        <v>200</v>
      </c>
      <c r="AR450" s="124">
        <v>1200</v>
      </c>
      <c r="AS450" s="187"/>
      <c r="AT450" s="124"/>
      <c r="AV450"/>
      <c r="AX450" s="10"/>
      <c r="AY450" s="11"/>
      <c r="AZ450" s="2"/>
      <c r="BC450"/>
    </row>
    <row r="451" spans="1:55" hidden="1" x14ac:dyDescent="0.25">
      <c r="A451" s="12" t="str">
        <f ca="1">IF(F451+G451+H451+I451+J451+D451+E451=3,IF(Tabelle2[[#This Row],[Kappe Weiß]]=Limits!$R$29,1,""),"")</f>
        <v/>
      </c>
      <c r="B451" s="12" t="str">
        <f ca="1">IF(G451+H451+I451+J451+E451+F451=2,IF(Tabelle2[[#This Row],[Kappe Weiß]]=Limits!$R$29,1,""),"")</f>
        <v/>
      </c>
      <c r="C451" s="291">
        <v>1</v>
      </c>
      <c r="D451" s="171">
        <f>IF(Limits!$P$7=TRUE,1,0)</f>
        <v>0</v>
      </c>
      <c r="E451" s="172">
        <f>IF(Daten!$P451+Daten!$Q451+Daten!$S451=3,1,0)</f>
        <v>0</v>
      </c>
      <c r="F451" s="173">
        <f ca="1">IF(AND(Limits!$Q$21=TRUE,Daten!O451=1)=TRUE,1,0)</f>
        <v>0</v>
      </c>
      <c r="G451" s="174">
        <f>IF(AND(Limits!$Q$25=TRUE,Daten!N451=1)=TRUE,1,0)</f>
        <v>0</v>
      </c>
      <c r="H451" s="174">
        <f>IF(AND(Limits!$Q$24=TRUE,Daten!M451=1)=TRUE,1,0)</f>
        <v>0</v>
      </c>
      <c r="I451" s="174">
        <f>IF(AND(Limits!$Q$23=TRUE,Daten!L451=1)=TRUE,1,0)</f>
        <v>0</v>
      </c>
      <c r="J451" s="174">
        <f>IF(AND(Limits!$Q$22=TRUE,Daten!K451=1)=TRUE,1,0)</f>
        <v>0</v>
      </c>
      <c r="K451" s="188">
        <f>IF(Daten!$V451=13,1,0)</f>
        <v>0</v>
      </c>
      <c r="L451" s="189">
        <f>IF(Daten!$V451&lt;&gt;Daten!$W451,1,IF(Daten!$V451=14,1,0))</f>
        <v>0</v>
      </c>
      <c r="M451" s="189">
        <f>IF(Daten!$V451&lt;&gt;Daten!$W451,1,IF(Daten!$V451=16,1,0))</f>
        <v>1</v>
      </c>
      <c r="N451" s="189">
        <f>IF(Daten!$W451=17,1,0)</f>
        <v>0</v>
      </c>
      <c r="O451" s="190">
        <f ca="1">IF(Daten!$X451=Sprache!$A$70,1,0)</f>
        <v>0</v>
      </c>
      <c r="P451" s="191">
        <f>IF(AND(Daten!$AQ451&lt;=KINVARO!$AW$3,Daten!$AR451&gt;=KINVARO!$AW$3)=TRUE,1,0)</f>
        <v>1</v>
      </c>
      <c r="Q451" s="192">
        <f>IF(AND(Daten!$AA451&lt;=KINVARO!$AW$4,Daten!$AB451&gt;=KINVARO!$AW$4)=TRUE,1,0)</f>
        <v>0</v>
      </c>
      <c r="R451" s="192"/>
      <c r="S451" s="192">
        <f>IF(AND(Daten!$AD451&lt;=Limits!$I$70,Daten!$AE451&gt;=Limits!$I$70)=TRUE,1,0)</f>
        <v>0</v>
      </c>
      <c r="T451" s="193">
        <f ca="1">IF(Daten!$Y451=Sprache!$A$135,1,0)</f>
        <v>0</v>
      </c>
      <c r="U451" s="124" t="str">
        <f ca="1">Sprache!$A$67</f>
        <v>T-70 Поворотный подъемник</v>
      </c>
      <c r="V451" s="194">
        <v>16</v>
      </c>
      <c r="W451" s="193">
        <v>16</v>
      </c>
      <c r="X451" s="187" t="str">
        <f ca="1">Sprache!$A$141</f>
        <v>Alu</v>
      </c>
      <c r="Y451" s="187" t="str">
        <f ca="1">Sprache!$A$136</f>
        <v>nein</v>
      </c>
      <c r="Z451" s="187" t="str">
        <f ca="1">Sprache!$A$79</f>
        <v>Створка</v>
      </c>
      <c r="AA451" s="187">
        <v>300</v>
      </c>
      <c r="AB451" s="124">
        <v>349</v>
      </c>
      <c r="AC451" s="187"/>
      <c r="AD451" s="195">
        <v>2.5</v>
      </c>
      <c r="AE451" s="196">
        <v>8.5</v>
      </c>
      <c r="AF451" s="263" t="str">
        <f>MID(Tabelle2[[#This Row],[bnr full]],1,4)</f>
        <v>F151</v>
      </c>
      <c r="AG451" s="264" t="str">
        <f>MID(Tabelle2[[#This Row],[bnr full]],5,3)</f>
        <v>147</v>
      </c>
      <c r="AH451" s="265" t="str">
        <f>MID(Tabelle2[[#This Row],[bnr full]],8,3)</f>
        <v>809</v>
      </c>
      <c r="AI451" s="264" t="str">
        <f>MID(Tabelle2[[#This Row],[bnr full]],11,3)</f>
        <v>201</v>
      </c>
      <c r="AJ451" s="252" t="str">
        <f>MID(Tabelle2[[#This Row],[bnr full]],11,3)</f>
        <v>201</v>
      </c>
      <c r="AK451" s="197" t="s">
        <v>1665</v>
      </c>
      <c r="AL451" s="124" t="str">
        <f ca="1">Sprache!$A$111</f>
        <v>Комплект (Л + П)</v>
      </c>
      <c r="AM451" s="187" t="s">
        <v>25</v>
      </c>
      <c r="AN451" s="187" t="str">
        <f ca="1">Sprache!$A$128</f>
        <v>Пружина, оранжевая</v>
      </c>
      <c r="AO451" s="187" t="s">
        <v>25</v>
      </c>
      <c r="AP451" s="187" t="s">
        <v>25</v>
      </c>
      <c r="AQ451" s="187">
        <f>Limits!$K$9</f>
        <v>200</v>
      </c>
      <c r="AR451" s="124">
        <v>1200</v>
      </c>
      <c r="AS451" s="187"/>
      <c r="AT451" s="124"/>
      <c r="AV451"/>
      <c r="AX451" s="10"/>
      <c r="AY451" s="11"/>
      <c r="AZ451" s="2"/>
      <c r="BC451"/>
    </row>
    <row r="452" spans="1:55" hidden="1" x14ac:dyDescent="0.25">
      <c r="A452" s="12" t="str">
        <f ca="1">IF(F452+G452+H452+I452+J452+D452+E452=3,IF(Tabelle2[[#This Row],[Kappe Weiß]]=Limits!$R$29,1,""),"")</f>
        <v/>
      </c>
      <c r="B452" s="12" t="str">
        <f ca="1">IF(G452+H452+I452+J452+E452+F452=2,IF(Tabelle2[[#This Row],[Kappe Weiß]]=Limits!$R$29,1,""),"")</f>
        <v/>
      </c>
      <c r="C452" s="291">
        <v>1</v>
      </c>
      <c r="D452" s="171">
        <f>IF(Limits!$P$7=TRUE,1,0)</f>
        <v>0</v>
      </c>
      <c r="E452" s="172">
        <f>IF(Daten!$P452+Daten!$Q452+Daten!$S452=3,1,0)</f>
        <v>0</v>
      </c>
      <c r="F452" s="173">
        <f ca="1">IF(AND(Limits!$Q$21=TRUE,Daten!O452=1)=TRUE,1,0)</f>
        <v>0</v>
      </c>
      <c r="G452" s="174">
        <f>IF(AND(Limits!$Q$25=TRUE,Daten!N452=1)=TRUE,1,0)</f>
        <v>0</v>
      </c>
      <c r="H452" s="174">
        <f>IF(AND(Limits!$Q$24=TRUE,Daten!M452=1)=TRUE,1,0)</f>
        <v>0</v>
      </c>
      <c r="I452" s="174">
        <f>IF(AND(Limits!$Q$23=TRUE,Daten!L452=1)=TRUE,1,0)</f>
        <v>0</v>
      </c>
      <c r="J452" s="174">
        <f>IF(AND(Limits!$Q$22=TRUE,Daten!K452=1)=TRUE,1,0)</f>
        <v>0</v>
      </c>
      <c r="K452" s="188">
        <f>IF(Daten!$V452=13,1,0)</f>
        <v>0</v>
      </c>
      <c r="L452" s="189">
        <f>IF(Daten!$V452&lt;&gt;Daten!$W452,1,IF(Daten!$V452=14,1,0))</f>
        <v>0</v>
      </c>
      <c r="M452" s="189">
        <f>IF(Daten!$V452&lt;&gt;Daten!$W452,1,IF(Daten!$V452=16,1,0))</f>
        <v>0</v>
      </c>
      <c r="N452" s="189">
        <f>IF(Daten!$W452=17,1,0)</f>
        <v>1</v>
      </c>
      <c r="O452" s="190">
        <f ca="1">IF(Daten!$X452=Sprache!$A$70,1,0)</f>
        <v>0</v>
      </c>
      <c r="P452" s="191">
        <f>IF(AND(Daten!$AQ452&lt;=KINVARO!$AW$3,Daten!$AR452&gt;=KINVARO!$AW$3)=TRUE,1,0)</f>
        <v>1</v>
      </c>
      <c r="Q452" s="192">
        <f>IF(AND(Daten!$AA452&lt;=KINVARO!$AW$4,Daten!$AB452&gt;=KINVARO!$AW$4)=TRUE,1,0)</f>
        <v>0</v>
      </c>
      <c r="R452" s="192"/>
      <c r="S452" s="192">
        <f>IF(AND(Daten!$AD452&lt;=Limits!$I$70,Daten!$AE452&gt;=Limits!$I$70)=TRUE,1,0)</f>
        <v>0</v>
      </c>
      <c r="T452" s="193">
        <f ca="1">IF(Daten!$Y452=Sprache!$A$135,1,0)</f>
        <v>0</v>
      </c>
      <c r="U452" s="124" t="str">
        <f ca="1">Sprache!$A$67</f>
        <v>T-70 Поворотный подъемник</v>
      </c>
      <c r="V452" s="194">
        <v>17</v>
      </c>
      <c r="W452" s="193">
        <v>17</v>
      </c>
      <c r="X452" s="187" t="str">
        <f ca="1">Sprache!$A$141</f>
        <v>Alu</v>
      </c>
      <c r="Y452" s="187" t="str">
        <f ca="1">Sprache!$A$136</f>
        <v>nein</v>
      </c>
      <c r="Z452" s="187" t="str">
        <f ca="1">Sprache!$A$79</f>
        <v>Створка</v>
      </c>
      <c r="AA452" s="187">
        <v>300</v>
      </c>
      <c r="AB452" s="124">
        <v>349</v>
      </c>
      <c r="AC452" s="187"/>
      <c r="AD452" s="195">
        <v>2.1</v>
      </c>
      <c r="AE452" s="196">
        <v>7.4</v>
      </c>
      <c r="AF452" s="263" t="str">
        <f>MID(Tabelle2[[#This Row],[bnr full]],1,4)</f>
        <v>F151</v>
      </c>
      <c r="AG452" s="264" t="str">
        <f>MID(Tabelle2[[#This Row],[bnr full]],5,3)</f>
        <v>147</v>
      </c>
      <c r="AH452" s="265" t="str">
        <f>MID(Tabelle2[[#This Row],[bnr full]],8,3)</f>
        <v>810</v>
      </c>
      <c r="AI452" s="264" t="str">
        <f>MID(Tabelle2[[#This Row],[bnr full]],11,3)</f>
        <v>201</v>
      </c>
      <c r="AJ452" s="252" t="str">
        <f>MID(Tabelle2[[#This Row],[bnr full]],11,3)</f>
        <v>201</v>
      </c>
      <c r="AK452" s="197" t="s">
        <v>1666</v>
      </c>
      <c r="AL452" s="124" t="str">
        <f ca="1">Sprache!$A$111</f>
        <v>Комплект (Л + П)</v>
      </c>
      <c r="AM452" s="187" t="s">
        <v>25</v>
      </c>
      <c r="AN452" s="187" t="str">
        <f ca="1">Sprache!$A$127</f>
        <v>Пружина, белая</v>
      </c>
      <c r="AO452" s="187" t="s">
        <v>25</v>
      </c>
      <c r="AP452" s="187" t="s">
        <v>25</v>
      </c>
      <c r="AQ452" s="187">
        <f>Limits!$K$9</f>
        <v>200</v>
      </c>
      <c r="AR452" s="124">
        <v>1200</v>
      </c>
      <c r="AS452" s="187"/>
      <c r="AT452" s="124"/>
      <c r="AV452"/>
      <c r="AX452" s="10"/>
      <c r="AY452" s="11"/>
      <c r="AZ452" s="2"/>
      <c r="BC452"/>
    </row>
    <row r="453" spans="1:55" hidden="1" x14ac:dyDescent="0.25">
      <c r="A453" s="12" t="str">
        <f ca="1">IF(F453+G453+H453+I453+J453+D453+E453=3,IF(Tabelle2[[#This Row],[Kappe Weiß]]=Limits!$R$29,1,""),"")</f>
        <v/>
      </c>
      <c r="B453" s="12" t="str">
        <f ca="1">IF(G453+H453+I453+J453+E453+F453=2,IF(Tabelle2[[#This Row],[Kappe Weiß]]=Limits!$R$29,1,""),"")</f>
        <v/>
      </c>
      <c r="C453" s="291">
        <v>1</v>
      </c>
      <c r="D453" s="171">
        <f>IF(Limits!$P$7=TRUE,1,0)</f>
        <v>0</v>
      </c>
      <c r="E453" s="172">
        <f>IF(Daten!$P453+Daten!$Q453+Daten!$S453=3,1,0)</f>
        <v>0</v>
      </c>
      <c r="F453" s="173">
        <f ca="1">IF(AND(Limits!$Q$21=TRUE,Daten!O453=1)=TRUE,1,0)</f>
        <v>0</v>
      </c>
      <c r="G453" s="174">
        <f>IF(AND(Limits!$Q$25=TRUE,Daten!N453=1)=TRUE,1,0)</f>
        <v>0</v>
      </c>
      <c r="H453" s="174">
        <f>IF(AND(Limits!$Q$24=TRUE,Daten!M453=1)=TRUE,1,0)</f>
        <v>0</v>
      </c>
      <c r="I453" s="174">
        <f>IF(AND(Limits!$Q$23=TRUE,Daten!L453=1)=TRUE,1,0)</f>
        <v>0</v>
      </c>
      <c r="J453" s="174">
        <f>IF(AND(Limits!$Q$22=TRUE,Daten!K453=1)=TRUE,1,0)</f>
        <v>0</v>
      </c>
      <c r="K453" s="188">
        <f>IF(Daten!$V453=13,1,0)</f>
        <v>0</v>
      </c>
      <c r="L453" s="189">
        <f>IF(Daten!$V453&lt;&gt;Daten!$W453,1,IF(Daten!$V453=14,1,0))</f>
        <v>0</v>
      </c>
      <c r="M453" s="189">
        <f>IF(Daten!$V453&lt;&gt;Daten!$W453,1,IF(Daten!$V453=16,1,0))</f>
        <v>0</v>
      </c>
      <c r="N453" s="189">
        <f>IF(Daten!$W453=17,1,0)</f>
        <v>1</v>
      </c>
      <c r="O453" s="190">
        <f ca="1">IF(Daten!$X453=Sprache!$A$70,1,0)</f>
        <v>0</v>
      </c>
      <c r="P453" s="191">
        <f>IF(AND(Daten!$AQ453&lt;=KINVARO!$AW$3,Daten!$AR453&gt;=KINVARO!$AW$3)=TRUE,1,0)</f>
        <v>1</v>
      </c>
      <c r="Q453" s="192">
        <f>IF(AND(Daten!$AA453&lt;=KINVARO!$AW$4,Daten!$AB453&gt;=KINVARO!$AW$4)=TRUE,1,0)</f>
        <v>0</v>
      </c>
      <c r="R453" s="192"/>
      <c r="S453" s="192">
        <f>IF(AND(Daten!$AD453&lt;=Limits!$I$70,Daten!$AE453&gt;=Limits!$I$70)=TRUE,1,0)</f>
        <v>0</v>
      </c>
      <c r="T453" s="193">
        <f ca="1">IF(Daten!$Y453=Sprache!$A$135,1,0)</f>
        <v>0</v>
      </c>
      <c r="U453" s="124" t="str">
        <f ca="1">Sprache!$A$67</f>
        <v>T-70 Поворотный подъемник</v>
      </c>
      <c r="V453" s="194">
        <v>17</v>
      </c>
      <c r="W453" s="193">
        <v>17</v>
      </c>
      <c r="X453" s="187" t="str">
        <f ca="1">Sprache!$A$141</f>
        <v>Alu</v>
      </c>
      <c r="Y453" s="187" t="str">
        <f ca="1">Sprache!$A$136</f>
        <v>nein</v>
      </c>
      <c r="Z453" s="187" t="str">
        <f ca="1">Sprache!$A$79</f>
        <v>Створка</v>
      </c>
      <c r="AA453" s="187">
        <v>300</v>
      </c>
      <c r="AB453" s="124">
        <v>349</v>
      </c>
      <c r="AC453" s="187"/>
      <c r="AD453" s="195">
        <v>2.5</v>
      </c>
      <c r="AE453" s="196">
        <v>8.5</v>
      </c>
      <c r="AF453" s="263" t="str">
        <f>MID(Tabelle2[[#This Row],[bnr full]],1,4)</f>
        <v>F151</v>
      </c>
      <c r="AG453" s="264" t="str">
        <f>MID(Tabelle2[[#This Row],[bnr full]],5,3)</f>
        <v>147</v>
      </c>
      <c r="AH453" s="265" t="str">
        <f>MID(Tabelle2[[#This Row],[bnr full]],8,3)</f>
        <v>810</v>
      </c>
      <c r="AI453" s="264" t="str">
        <f>MID(Tabelle2[[#This Row],[bnr full]],11,3)</f>
        <v>201</v>
      </c>
      <c r="AJ453" s="252" t="str">
        <f>MID(Tabelle2[[#This Row],[bnr full]],11,3)</f>
        <v>201</v>
      </c>
      <c r="AK453" s="197" t="s">
        <v>1666</v>
      </c>
      <c r="AL453" s="124" t="str">
        <f ca="1">Sprache!$A$111</f>
        <v>Комплект (Л + П)</v>
      </c>
      <c r="AM453" s="187" t="s">
        <v>25</v>
      </c>
      <c r="AN453" s="187" t="str">
        <f ca="1">Sprache!$A$128</f>
        <v>Пружина, оранжевая</v>
      </c>
      <c r="AO453" s="187" t="s">
        <v>25</v>
      </c>
      <c r="AP453" s="187" t="s">
        <v>25</v>
      </c>
      <c r="AQ453" s="187">
        <f>Limits!$K$9</f>
        <v>200</v>
      </c>
      <c r="AR453" s="124">
        <v>1200</v>
      </c>
      <c r="AS453" s="187"/>
      <c r="AT453" s="124"/>
      <c r="AV453"/>
      <c r="AX453" s="10"/>
      <c r="AY453" s="11"/>
      <c r="AZ453" s="2"/>
      <c r="BC453"/>
    </row>
    <row r="454" spans="1:55" hidden="1" x14ac:dyDescent="0.25">
      <c r="A454" s="12" t="str">
        <f ca="1">IF(F454+G454+H454+I454+J454+D454+E454=3,IF(Tabelle2[[#This Row],[Kappe Weiß]]=Limits!$R$29,1,""),"")</f>
        <v/>
      </c>
      <c r="B454" s="12" t="str">
        <f ca="1">IF(G454+H454+I454+J454+E454+F454=2,IF(Tabelle2[[#This Row],[Kappe Weiß]]=Limits!$R$29,1,""),"")</f>
        <v/>
      </c>
      <c r="C454" s="292">
        <v>1</v>
      </c>
      <c r="D454" s="171">
        <f>IF(Limits!$P$7=TRUE,1,0)</f>
        <v>0</v>
      </c>
      <c r="E454" s="172">
        <f>IF(Daten!$P454+Daten!$Q454+Daten!$S454=3,1,0)</f>
        <v>0</v>
      </c>
      <c r="F454" s="173">
        <f ca="1">IF(AND(Limits!$Q$21=TRUE,Daten!O454=1)=TRUE,1,0)</f>
        <v>1</v>
      </c>
      <c r="G454" s="174">
        <f ca="1">IF(AND(Limits!$Q$25=TRUE,Daten!N454=1)=TRUE,1,0)</f>
        <v>0</v>
      </c>
      <c r="H454" s="174">
        <f ca="1">IF(AND(Limits!$Q$24=TRUE,Daten!M454=1)=TRUE,1,0)</f>
        <v>0</v>
      </c>
      <c r="I454" s="174">
        <f ca="1">IF(AND(Limits!$Q$23=TRUE,Daten!L454=1)=TRUE,1,0)</f>
        <v>0</v>
      </c>
      <c r="J454" s="174">
        <f ca="1">IF(AND(Limits!$Q$22=TRUE,Daten!K454=1)=TRUE,1,0)</f>
        <v>0</v>
      </c>
      <c r="K454" s="188">
        <f ca="1">IF(Daten!$V454=13,1,0)</f>
        <v>0</v>
      </c>
      <c r="L454" s="189">
        <f ca="1">IF(Daten!$V454&lt;&gt;Daten!$W454,1,IF(Daten!$V454=14,1,0))</f>
        <v>0</v>
      </c>
      <c r="M454" s="189">
        <f ca="1">IF(Daten!$V454&lt;&gt;Daten!$W454,1,IF(Daten!$V454=16,1,0))</f>
        <v>0</v>
      </c>
      <c r="N454" s="189">
        <f ca="1">IF(Daten!$W454=17,1,0)</f>
        <v>0</v>
      </c>
      <c r="O454" s="190">
        <f ca="1">IF(Daten!$X454=Sprache!$A$70,1,0)</f>
        <v>1</v>
      </c>
      <c r="P454" s="198">
        <f>IF(AND(Daten!$AQ454&lt;=KINVARO!$AW$3,Daten!$AR454&gt;=KINVARO!$AW$3)=TRUE,1,0)</f>
        <v>1</v>
      </c>
      <c r="Q454" s="199">
        <f>IF(AND(Daten!$AA454&lt;=KINVARO!$AW$4,Daten!$AB454&gt;=KINVARO!$AW$4)=TRUE,1,0)</f>
        <v>0</v>
      </c>
      <c r="R454" s="199"/>
      <c r="S454" s="199">
        <f>IF(AND(Daten!$AD454&lt;=Limits!$I$70,Daten!$AE454&gt;=Limits!$I$70)=TRUE,1,0)</f>
        <v>0</v>
      </c>
      <c r="T454" s="200">
        <f ca="1">IF(Daten!$Y454=Sprache!$A$135,1,0)</f>
        <v>0</v>
      </c>
      <c r="U454" s="201" t="str">
        <f ca="1">Sprache!$A$67</f>
        <v>T-70 Поворотный подъемник</v>
      </c>
      <c r="V454" s="202" t="str">
        <f ca="1">Sprache!$A$74</f>
        <v>var</v>
      </c>
      <c r="W454" s="200" t="str">
        <f ca="1">Sprache!$A$74</f>
        <v>var</v>
      </c>
      <c r="X454" s="203" t="str">
        <f ca="1">Sprache!$A$70</f>
        <v>соединение с древесиной</v>
      </c>
      <c r="Y454" s="187" t="str">
        <f ca="1">Sprache!$A$136</f>
        <v>nein</v>
      </c>
      <c r="Z454" s="203" t="str">
        <f ca="1">Sprache!$A$79</f>
        <v>Створка</v>
      </c>
      <c r="AA454" s="203">
        <v>350</v>
      </c>
      <c r="AB454" s="201">
        <v>399</v>
      </c>
      <c r="AC454" s="203"/>
      <c r="AD454" s="204">
        <v>1.8</v>
      </c>
      <c r="AE454" s="205">
        <v>6.3</v>
      </c>
      <c r="AF454" s="266" t="str">
        <f>MID(Tabelle2[[#This Row],[bnr full]],1,4)</f>
        <v>F151</v>
      </c>
      <c r="AG454" s="267" t="str">
        <f>MID(Tabelle2[[#This Row],[bnr full]],5,3)</f>
        <v>147</v>
      </c>
      <c r="AH454" s="268" t="str">
        <f>MID(Tabelle2[[#This Row],[bnr full]],8,3)</f>
        <v>693</v>
      </c>
      <c r="AI454" s="267" t="str">
        <f>MID(Tabelle2[[#This Row],[bnr full]],11,3)</f>
        <v>201</v>
      </c>
      <c r="AJ454" s="253" t="str">
        <f>MID(Tabelle2[[#This Row],[bnr full]],11,3)</f>
        <v>201</v>
      </c>
      <c r="AK454" s="206" t="s">
        <v>1662</v>
      </c>
      <c r="AL454" s="201" t="str">
        <f ca="1">Sprache!$A$111</f>
        <v>Комплект (Л + П)</v>
      </c>
      <c r="AM454" s="203" t="s">
        <v>25</v>
      </c>
      <c r="AN454" s="203" t="str">
        <f ca="1">Sprache!$A$127</f>
        <v>Пружина, белая</v>
      </c>
      <c r="AO454" s="187" t="s">
        <v>25</v>
      </c>
      <c r="AP454" s="187" t="s">
        <v>25</v>
      </c>
      <c r="AQ454" s="203">
        <f>Limits!$K$9</f>
        <v>200</v>
      </c>
      <c r="AR454" s="201">
        <v>1200</v>
      </c>
      <c r="AS454" s="187"/>
      <c r="AT454" s="124"/>
      <c r="AV454"/>
      <c r="AX454" s="10"/>
      <c r="AY454" s="11"/>
      <c r="AZ454" s="2"/>
      <c r="BC454"/>
    </row>
    <row r="455" spans="1:55" hidden="1" x14ac:dyDescent="0.25">
      <c r="A455" s="12" t="str">
        <f ca="1">IF(F455+G455+H455+I455+J455+D455+E455=3,IF(Tabelle2[[#This Row],[Kappe Weiß]]=Limits!$R$29,1,""),"")</f>
        <v/>
      </c>
      <c r="B455" s="12" t="str">
        <f ca="1">IF(G455+H455+I455+J455+E455+F455=2,IF(Tabelle2[[#This Row],[Kappe Weiß]]=Limits!$R$29,1,""),"")</f>
        <v/>
      </c>
      <c r="C455" s="291">
        <v>1</v>
      </c>
      <c r="D455" s="171">
        <f>IF(Limits!$P$7=TRUE,1,0)</f>
        <v>0</v>
      </c>
      <c r="E455" s="172">
        <f>IF(Daten!$P455+Daten!$Q455+Daten!$S455=3,1,0)</f>
        <v>0</v>
      </c>
      <c r="F455" s="173">
        <f ca="1">IF(AND(Limits!$Q$21=TRUE,Daten!O455=1)=TRUE,1,0)</f>
        <v>1</v>
      </c>
      <c r="G455" s="174">
        <f ca="1">IF(AND(Limits!$Q$25=TRUE,Daten!N455=1)=TRUE,1,0)</f>
        <v>0</v>
      </c>
      <c r="H455" s="174">
        <f ca="1">IF(AND(Limits!$Q$24=TRUE,Daten!M455=1)=TRUE,1,0)</f>
        <v>0</v>
      </c>
      <c r="I455" s="174">
        <f ca="1">IF(AND(Limits!$Q$23=TRUE,Daten!L455=1)=TRUE,1,0)</f>
        <v>0</v>
      </c>
      <c r="J455" s="174">
        <f ca="1">IF(AND(Limits!$Q$22=TRUE,Daten!K455=1)=TRUE,1,0)</f>
        <v>0</v>
      </c>
      <c r="K455" s="188">
        <f ca="1">IF(Daten!$V455=13,1,0)</f>
        <v>0</v>
      </c>
      <c r="L455" s="189">
        <f ca="1">IF(Daten!$V455&lt;&gt;Daten!$W455,1,IF(Daten!$V455=14,1,0))</f>
        <v>0</v>
      </c>
      <c r="M455" s="189">
        <f ca="1">IF(Daten!$V455&lt;&gt;Daten!$W455,1,IF(Daten!$V455=16,1,0))</f>
        <v>0</v>
      </c>
      <c r="N455" s="189">
        <f ca="1">IF(Daten!$W455=17,1,0)</f>
        <v>0</v>
      </c>
      <c r="O455" s="190">
        <f ca="1">IF(Daten!$X455=Sprache!$A$70,1,0)</f>
        <v>1</v>
      </c>
      <c r="P455" s="191">
        <f>IF(AND(Daten!$AQ455&lt;=KINVARO!$AW$3,Daten!$AR455&gt;=KINVARO!$AW$3)=TRUE,1,0)</f>
        <v>1</v>
      </c>
      <c r="Q455" s="192">
        <f>IF(AND(Daten!$AA455&lt;=KINVARO!$AW$4,Daten!$AB455&gt;=KINVARO!$AW$4)=TRUE,1,0)</f>
        <v>0</v>
      </c>
      <c r="R455" s="192"/>
      <c r="S455" s="192">
        <f>IF(AND(Daten!$AD455&lt;=Limits!$I$70,Daten!$AE455&gt;=Limits!$I$70)=TRUE,1,0)</f>
        <v>0</v>
      </c>
      <c r="T455" s="193">
        <f ca="1">IF(Daten!$Y455=Sprache!$A$135,1,0)</f>
        <v>0</v>
      </c>
      <c r="U455" s="124" t="str">
        <f ca="1">Sprache!$A$67</f>
        <v>T-70 Поворотный подъемник</v>
      </c>
      <c r="V455" s="194" t="str">
        <f ca="1">Sprache!$A$74</f>
        <v>var</v>
      </c>
      <c r="W455" s="193" t="str">
        <f ca="1">Sprache!$A$74</f>
        <v>var</v>
      </c>
      <c r="X455" s="187" t="str">
        <f ca="1">Sprache!$A$70</f>
        <v>соединение с древесиной</v>
      </c>
      <c r="Y455" s="187" t="str">
        <f ca="1">Sprache!$A$136</f>
        <v>nein</v>
      </c>
      <c r="Z455" s="187" t="str">
        <f ca="1">Sprache!$A$79</f>
        <v>Створка</v>
      </c>
      <c r="AA455" s="187">
        <v>350</v>
      </c>
      <c r="AB455" s="124">
        <v>399</v>
      </c>
      <c r="AC455" s="187"/>
      <c r="AD455" s="195">
        <v>2.2999999999999998</v>
      </c>
      <c r="AE455" s="196">
        <v>7.5</v>
      </c>
      <c r="AF455" s="263" t="str">
        <f>MID(Tabelle2[[#This Row],[bnr full]],1,4)</f>
        <v>F151</v>
      </c>
      <c r="AG455" s="264" t="str">
        <f>MID(Tabelle2[[#This Row],[bnr full]],5,3)</f>
        <v>147</v>
      </c>
      <c r="AH455" s="265" t="str">
        <f>MID(Tabelle2[[#This Row],[bnr full]],8,3)</f>
        <v>693</v>
      </c>
      <c r="AI455" s="264" t="str">
        <f>MID(Tabelle2[[#This Row],[bnr full]],11,3)</f>
        <v>201</v>
      </c>
      <c r="AJ455" s="252" t="str">
        <f>MID(Tabelle2[[#This Row],[bnr full]],11,3)</f>
        <v>201</v>
      </c>
      <c r="AK455" s="197" t="s">
        <v>1662</v>
      </c>
      <c r="AL455" s="124" t="str">
        <f ca="1">Sprache!$A$111</f>
        <v>Комплект (Л + П)</v>
      </c>
      <c r="AM455" s="187" t="s">
        <v>25</v>
      </c>
      <c r="AN455" s="187" t="str">
        <f ca="1">Sprache!$A$128</f>
        <v>Пружина, оранжевая</v>
      </c>
      <c r="AO455" s="187" t="s">
        <v>25</v>
      </c>
      <c r="AP455" s="187" t="s">
        <v>25</v>
      </c>
      <c r="AQ455" s="187">
        <f>Limits!$K$9</f>
        <v>200</v>
      </c>
      <c r="AR455" s="124">
        <v>1200</v>
      </c>
      <c r="AS455" s="187"/>
      <c r="AT455" s="124"/>
      <c r="AV455"/>
      <c r="AX455" s="10"/>
      <c r="AY455" s="11"/>
      <c r="AZ455" s="2"/>
      <c r="BC455"/>
    </row>
    <row r="456" spans="1:55" hidden="1" x14ac:dyDescent="0.25">
      <c r="A456" s="12" t="str">
        <f ca="1">IF(F456+G456+H456+I456+J456+D456+E456=3,IF(Tabelle2[[#This Row],[Kappe Weiß]]=Limits!$R$29,1,""),"")</f>
        <v/>
      </c>
      <c r="B456" s="12" t="str">
        <f ca="1">IF(G456+H456+I456+J456+E456+F456=2,IF(Tabelle2[[#This Row],[Kappe Weiß]]=Limits!$R$29,1,""),"")</f>
        <v/>
      </c>
      <c r="C456" s="291">
        <v>1</v>
      </c>
      <c r="D456" s="171">
        <f>IF(Limits!$P$7=TRUE,1,0)</f>
        <v>0</v>
      </c>
      <c r="E456" s="172">
        <f>IF(Daten!$P456+Daten!$Q456+Daten!$S456=3,1,0)</f>
        <v>0</v>
      </c>
      <c r="F456" s="173">
        <f ca="1">IF(AND(Limits!$Q$21=TRUE,Daten!O456=1)=TRUE,1,0)</f>
        <v>0</v>
      </c>
      <c r="G456" s="174">
        <f>IF(AND(Limits!$Q$25=TRUE,Daten!N456=1)=TRUE,1,0)</f>
        <v>0</v>
      </c>
      <c r="H456" s="174">
        <f>IF(AND(Limits!$Q$24=TRUE,Daten!M456=1)=TRUE,1,0)</f>
        <v>0</v>
      </c>
      <c r="I456" s="174">
        <f>IF(AND(Limits!$Q$23=TRUE,Daten!L456=1)=TRUE,1,0)</f>
        <v>0</v>
      </c>
      <c r="J456" s="174">
        <f>IF(AND(Limits!$Q$22=TRUE,Daten!K456=1)=TRUE,1,0)</f>
        <v>0</v>
      </c>
      <c r="K456" s="188">
        <f>IF(Daten!$V456=13,1,0)</f>
        <v>1</v>
      </c>
      <c r="L456" s="189">
        <f>IF(Daten!$V456&lt;&gt;Daten!$W456,1,IF(Daten!$V456=14,1,0))</f>
        <v>0</v>
      </c>
      <c r="M456" s="189">
        <f>IF(Daten!$V456&lt;&gt;Daten!$W456,1,IF(Daten!$V456=16,1,0))</f>
        <v>0</v>
      </c>
      <c r="N456" s="189">
        <f>IF(Daten!$W456=17,1,0)</f>
        <v>0</v>
      </c>
      <c r="O456" s="190">
        <f ca="1">IF(Daten!$X456=Sprache!$A$70,1,0)</f>
        <v>0</v>
      </c>
      <c r="P456" s="191">
        <f>IF(AND(Daten!$AQ456&lt;=KINVARO!$AW$3,Daten!$AR456&gt;=KINVARO!$AW$3)=TRUE,1,0)</f>
        <v>1</v>
      </c>
      <c r="Q456" s="192">
        <f>IF(AND(Daten!$AA456&lt;=KINVARO!$AW$4,Daten!$AB456&gt;=KINVARO!$AW$4)=TRUE,1,0)</f>
        <v>0</v>
      </c>
      <c r="R456" s="192"/>
      <c r="S456" s="192">
        <f>IF(AND(Daten!$AD456&lt;=Limits!$I$70,Daten!$AE456&gt;=Limits!$I$70)=TRUE,1,0)</f>
        <v>0</v>
      </c>
      <c r="T456" s="193">
        <f ca="1">IF(Daten!$Y456=Sprache!$A$135,1,0)</f>
        <v>0</v>
      </c>
      <c r="U456" s="124" t="str">
        <f ca="1">Sprache!$A$67</f>
        <v>T-70 Поворотный подъемник</v>
      </c>
      <c r="V456" s="194">
        <v>13</v>
      </c>
      <c r="W456" s="193">
        <v>13</v>
      </c>
      <c r="X456" s="187" t="str">
        <f ca="1">Sprache!$A$141</f>
        <v>Alu</v>
      </c>
      <c r="Y456" s="187" t="str">
        <f ca="1">Sprache!$A$136</f>
        <v>nein</v>
      </c>
      <c r="Z456" s="187" t="str">
        <f ca="1">Sprache!$A$79</f>
        <v>Створка</v>
      </c>
      <c r="AA456" s="187">
        <v>350</v>
      </c>
      <c r="AB456" s="124">
        <v>399</v>
      </c>
      <c r="AC456" s="187"/>
      <c r="AD456" s="195">
        <v>1.8</v>
      </c>
      <c r="AE456" s="196">
        <v>6.3</v>
      </c>
      <c r="AF456" s="263" t="str">
        <f>MID(Tabelle2[[#This Row],[bnr full]],1,4)</f>
        <v>F151</v>
      </c>
      <c r="AG456" s="264" t="str">
        <f>MID(Tabelle2[[#This Row],[bnr full]],5,3)</f>
        <v>147</v>
      </c>
      <c r="AH456" s="265" t="str">
        <f>MID(Tabelle2[[#This Row],[bnr full]],8,3)</f>
        <v>807</v>
      </c>
      <c r="AI456" s="264" t="str">
        <f>MID(Tabelle2[[#This Row],[bnr full]],11,3)</f>
        <v>201</v>
      </c>
      <c r="AJ456" s="252" t="str">
        <f>MID(Tabelle2[[#This Row],[bnr full]],11,3)</f>
        <v>201</v>
      </c>
      <c r="AK456" s="197" t="s">
        <v>1663</v>
      </c>
      <c r="AL456" s="124" t="str">
        <f ca="1">Sprache!$A$111</f>
        <v>Комплект (Л + П)</v>
      </c>
      <c r="AM456" s="187" t="s">
        <v>25</v>
      </c>
      <c r="AN456" s="187" t="str">
        <f ca="1">Sprache!$A$127</f>
        <v>Пружина, белая</v>
      </c>
      <c r="AO456" s="187" t="s">
        <v>25</v>
      </c>
      <c r="AP456" s="187" t="s">
        <v>25</v>
      </c>
      <c r="AQ456" s="187">
        <f>Limits!$K$9</f>
        <v>200</v>
      </c>
      <c r="AR456" s="124">
        <v>1200</v>
      </c>
      <c r="AS456" s="187"/>
      <c r="AT456" s="124"/>
      <c r="AV456"/>
      <c r="AX456" s="10"/>
      <c r="AY456" s="11"/>
      <c r="AZ456" s="2"/>
      <c r="BC456"/>
    </row>
    <row r="457" spans="1:55" hidden="1" x14ac:dyDescent="0.25">
      <c r="A457" s="12" t="str">
        <f ca="1">IF(F457+G457+H457+I457+J457+D457+E457=3,IF(Tabelle2[[#This Row],[Kappe Weiß]]=Limits!$R$29,1,""),"")</f>
        <v/>
      </c>
      <c r="B457" s="12" t="str">
        <f ca="1">IF(G457+H457+I457+J457+E457+F457=2,IF(Tabelle2[[#This Row],[Kappe Weiß]]=Limits!$R$29,1,""),"")</f>
        <v/>
      </c>
      <c r="C457" s="291">
        <v>1</v>
      </c>
      <c r="D457" s="171">
        <f>IF(Limits!$P$7=TRUE,1,0)</f>
        <v>0</v>
      </c>
      <c r="E457" s="172">
        <f>IF(Daten!$P457+Daten!$Q457+Daten!$S457=3,1,0)</f>
        <v>0</v>
      </c>
      <c r="F457" s="173">
        <f ca="1">IF(AND(Limits!$Q$21=TRUE,Daten!O457=1)=TRUE,1,0)</f>
        <v>0</v>
      </c>
      <c r="G457" s="174">
        <f>IF(AND(Limits!$Q$25=TRUE,Daten!N457=1)=TRUE,1,0)</f>
        <v>0</v>
      </c>
      <c r="H457" s="174">
        <f>IF(AND(Limits!$Q$24=TRUE,Daten!M457=1)=TRUE,1,0)</f>
        <v>0</v>
      </c>
      <c r="I457" s="174">
        <f>IF(AND(Limits!$Q$23=TRUE,Daten!L457=1)=TRUE,1,0)</f>
        <v>0</v>
      </c>
      <c r="J457" s="174">
        <f>IF(AND(Limits!$Q$22=TRUE,Daten!K457=1)=TRUE,1,0)</f>
        <v>0</v>
      </c>
      <c r="K457" s="188">
        <f>IF(Daten!$V457=13,1,0)</f>
        <v>1</v>
      </c>
      <c r="L457" s="189">
        <f>IF(Daten!$V457&lt;&gt;Daten!$W457,1,IF(Daten!$V457=14,1,0))</f>
        <v>0</v>
      </c>
      <c r="M457" s="189">
        <f>IF(Daten!$V457&lt;&gt;Daten!$W457,1,IF(Daten!$V457=16,1,0))</f>
        <v>0</v>
      </c>
      <c r="N457" s="189">
        <f>IF(Daten!$W457=17,1,0)</f>
        <v>0</v>
      </c>
      <c r="O457" s="190">
        <f ca="1">IF(Daten!$X457=Sprache!$A$70,1,0)</f>
        <v>0</v>
      </c>
      <c r="P457" s="191">
        <f>IF(AND(Daten!$AQ457&lt;=KINVARO!$AW$3,Daten!$AR457&gt;=KINVARO!$AW$3)=TRUE,1,0)</f>
        <v>1</v>
      </c>
      <c r="Q457" s="192">
        <f>IF(AND(Daten!$AA457&lt;=KINVARO!$AW$4,Daten!$AB457&gt;=KINVARO!$AW$4)=TRUE,1,0)</f>
        <v>0</v>
      </c>
      <c r="R457" s="192"/>
      <c r="S457" s="192">
        <f>IF(AND(Daten!$AD457&lt;=Limits!$I$70,Daten!$AE457&gt;=Limits!$I$70)=TRUE,1,0)</f>
        <v>0</v>
      </c>
      <c r="T457" s="193">
        <f ca="1">IF(Daten!$Y457=Sprache!$A$135,1,0)</f>
        <v>0</v>
      </c>
      <c r="U457" s="124" t="str">
        <f ca="1">Sprache!$A$67</f>
        <v>T-70 Поворотный подъемник</v>
      </c>
      <c r="V457" s="194">
        <v>13</v>
      </c>
      <c r="W457" s="193">
        <v>13</v>
      </c>
      <c r="X457" s="187" t="str">
        <f ca="1">Sprache!$A$141</f>
        <v>Alu</v>
      </c>
      <c r="Y457" s="187" t="str">
        <f ca="1">Sprache!$A$136</f>
        <v>nein</v>
      </c>
      <c r="Z457" s="187" t="str">
        <f ca="1">Sprache!$A$79</f>
        <v>Створка</v>
      </c>
      <c r="AA457" s="187">
        <v>350</v>
      </c>
      <c r="AB457" s="124">
        <v>399</v>
      </c>
      <c r="AC457" s="187"/>
      <c r="AD457" s="195">
        <v>2.2999999999999998</v>
      </c>
      <c r="AE457" s="196">
        <v>7.5</v>
      </c>
      <c r="AF457" s="263" t="str">
        <f>MID(Tabelle2[[#This Row],[bnr full]],1,4)</f>
        <v>F151</v>
      </c>
      <c r="AG457" s="264" t="str">
        <f>MID(Tabelle2[[#This Row],[bnr full]],5,3)</f>
        <v>147</v>
      </c>
      <c r="AH457" s="265" t="str">
        <f>MID(Tabelle2[[#This Row],[bnr full]],8,3)</f>
        <v>807</v>
      </c>
      <c r="AI457" s="264" t="str">
        <f>MID(Tabelle2[[#This Row],[bnr full]],11,3)</f>
        <v>201</v>
      </c>
      <c r="AJ457" s="252" t="str">
        <f>MID(Tabelle2[[#This Row],[bnr full]],11,3)</f>
        <v>201</v>
      </c>
      <c r="AK457" s="197" t="s">
        <v>1663</v>
      </c>
      <c r="AL457" s="124" t="str">
        <f ca="1">Sprache!$A$111</f>
        <v>Комплект (Л + П)</v>
      </c>
      <c r="AM457" s="187" t="s">
        <v>25</v>
      </c>
      <c r="AN457" s="187" t="str">
        <f ca="1">Sprache!$A$128</f>
        <v>Пружина, оранжевая</v>
      </c>
      <c r="AO457" s="187" t="s">
        <v>25</v>
      </c>
      <c r="AP457" s="187" t="s">
        <v>25</v>
      </c>
      <c r="AQ457" s="187">
        <f>Limits!$K$9</f>
        <v>200</v>
      </c>
      <c r="AR457" s="124">
        <v>1200</v>
      </c>
      <c r="AS457" s="187"/>
      <c r="AT457" s="124"/>
      <c r="AV457"/>
      <c r="AX457" s="10"/>
      <c r="AY457" s="11"/>
      <c r="AZ457" s="2"/>
      <c r="BC457"/>
    </row>
    <row r="458" spans="1:55" hidden="1" x14ac:dyDescent="0.25">
      <c r="A458" s="12" t="str">
        <f ca="1">IF(F458+G458+H458+I458+J458+D458+E458=3,IF(Tabelle2[[#This Row],[Kappe Weiß]]=Limits!$R$29,1,""),"")</f>
        <v/>
      </c>
      <c r="B458" s="12" t="str">
        <f ca="1">IF(G458+H458+I458+J458+E458+F458=2,IF(Tabelle2[[#This Row],[Kappe Weiß]]=Limits!$R$29,1,""),"")</f>
        <v/>
      </c>
      <c r="C458" s="291">
        <v>1</v>
      </c>
      <c r="D458" s="171">
        <f>IF(Limits!$P$7=TRUE,1,0)</f>
        <v>0</v>
      </c>
      <c r="E458" s="172">
        <f>IF(Daten!$P458+Daten!$Q458+Daten!$S458=3,1,0)</f>
        <v>0</v>
      </c>
      <c r="F458" s="173">
        <f ca="1">IF(AND(Limits!$Q$21=TRUE,Daten!O458=1)=TRUE,1,0)</f>
        <v>0</v>
      </c>
      <c r="G458" s="174">
        <f>IF(AND(Limits!$Q$25=TRUE,Daten!N458=1)=TRUE,1,0)</f>
        <v>0</v>
      </c>
      <c r="H458" s="174">
        <f>IF(AND(Limits!$Q$24=TRUE,Daten!M458=1)=TRUE,1,0)</f>
        <v>0</v>
      </c>
      <c r="I458" s="174">
        <f>IF(AND(Limits!$Q$23=TRUE,Daten!L458=1)=TRUE,1,0)</f>
        <v>0</v>
      </c>
      <c r="J458" s="174">
        <f>IF(AND(Limits!$Q$22=TRUE,Daten!K458=1)=TRUE,1,0)</f>
        <v>0</v>
      </c>
      <c r="K458" s="188">
        <f>IF(Daten!$V458=13,1,0)</f>
        <v>0</v>
      </c>
      <c r="L458" s="189">
        <f>IF(Daten!$V458&lt;&gt;Daten!$W458,1,IF(Daten!$V458=14,1,0))</f>
        <v>1</v>
      </c>
      <c r="M458" s="189">
        <f>IF(Daten!$V458&lt;&gt;Daten!$W458,1,IF(Daten!$V458=16,1,0))</f>
        <v>0</v>
      </c>
      <c r="N458" s="189">
        <f>IF(Daten!$W458=17,1,0)</f>
        <v>0</v>
      </c>
      <c r="O458" s="190">
        <f ca="1">IF(Daten!$X458=Sprache!$A$70,1,0)</f>
        <v>0</v>
      </c>
      <c r="P458" s="191">
        <f>IF(AND(Daten!$AQ458&lt;=KINVARO!$AW$3,Daten!$AR458&gt;=KINVARO!$AW$3)=TRUE,1,0)</f>
        <v>1</v>
      </c>
      <c r="Q458" s="192">
        <f>IF(AND(Daten!$AA458&lt;=KINVARO!$AW$4,Daten!$AB458&gt;=KINVARO!$AW$4)=TRUE,1,0)</f>
        <v>0</v>
      </c>
      <c r="R458" s="192"/>
      <c r="S458" s="192">
        <f>IF(AND(Daten!$AD458&lt;=Limits!$I$70,Daten!$AE458&gt;=Limits!$I$70)=TRUE,1,0)</f>
        <v>0</v>
      </c>
      <c r="T458" s="193">
        <f ca="1">IF(Daten!$Y458=Sprache!$A$135,1,0)</f>
        <v>0</v>
      </c>
      <c r="U458" s="124" t="str">
        <f ca="1">Sprache!$A$67</f>
        <v>T-70 Поворотный подъемник</v>
      </c>
      <c r="V458" s="194">
        <v>14</v>
      </c>
      <c r="W458" s="193">
        <v>14</v>
      </c>
      <c r="X458" s="187" t="str">
        <f ca="1">Sprache!$A$141</f>
        <v>Alu</v>
      </c>
      <c r="Y458" s="187" t="str">
        <f ca="1">Sprache!$A$136</f>
        <v>nein</v>
      </c>
      <c r="Z458" s="187" t="str">
        <f ca="1">Sprache!$A$79</f>
        <v>Створка</v>
      </c>
      <c r="AA458" s="187">
        <v>350</v>
      </c>
      <c r="AB458" s="124">
        <v>399</v>
      </c>
      <c r="AC458" s="187"/>
      <c r="AD458" s="195">
        <v>1.8</v>
      </c>
      <c r="AE458" s="196">
        <v>6.3</v>
      </c>
      <c r="AF458" s="263" t="str">
        <f>MID(Tabelle2[[#This Row],[bnr full]],1,4)</f>
        <v>F151</v>
      </c>
      <c r="AG458" s="264" t="str">
        <f>MID(Tabelle2[[#This Row],[bnr full]],5,3)</f>
        <v>147</v>
      </c>
      <c r="AH458" s="265" t="str">
        <f>MID(Tabelle2[[#This Row],[bnr full]],8,3)</f>
        <v>808</v>
      </c>
      <c r="AI458" s="264" t="str">
        <f>MID(Tabelle2[[#This Row],[bnr full]],11,3)</f>
        <v>201</v>
      </c>
      <c r="AJ458" s="252" t="str">
        <f>MID(Tabelle2[[#This Row],[bnr full]],11,3)</f>
        <v>201</v>
      </c>
      <c r="AK458" s="197" t="s">
        <v>1664</v>
      </c>
      <c r="AL458" s="124" t="str">
        <f ca="1">Sprache!$A$111</f>
        <v>Комплект (Л + П)</v>
      </c>
      <c r="AM458" s="187" t="s">
        <v>25</v>
      </c>
      <c r="AN458" s="187" t="str">
        <f ca="1">Sprache!$A$127</f>
        <v>Пружина, белая</v>
      </c>
      <c r="AO458" s="187" t="s">
        <v>25</v>
      </c>
      <c r="AP458" s="187" t="s">
        <v>25</v>
      </c>
      <c r="AQ458" s="187">
        <f>Limits!$K$9</f>
        <v>200</v>
      </c>
      <c r="AR458" s="124">
        <v>1200</v>
      </c>
      <c r="AS458" s="187"/>
      <c r="AT458" s="124"/>
      <c r="AV458"/>
      <c r="AX458" s="10"/>
      <c r="AY458" s="11"/>
      <c r="AZ458" s="2"/>
      <c r="BC458"/>
    </row>
    <row r="459" spans="1:55" hidden="1" x14ac:dyDescent="0.25">
      <c r="A459" s="12" t="str">
        <f ca="1">IF(F459+G459+H459+I459+J459+D459+E459=3,IF(Tabelle2[[#This Row],[Kappe Weiß]]=Limits!$R$29,1,""),"")</f>
        <v/>
      </c>
      <c r="B459" s="12" t="str">
        <f ca="1">IF(G459+H459+I459+J459+E459+F459=2,IF(Tabelle2[[#This Row],[Kappe Weiß]]=Limits!$R$29,1,""),"")</f>
        <v/>
      </c>
      <c r="C459" s="291">
        <v>1</v>
      </c>
      <c r="D459" s="171">
        <f>IF(Limits!$P$7=TRUE,1,0)</f>
        <v>0</v>
      </c>
      <c r="E459" s="172">
        <f>IF(Daten!$P459+Daten!$Q459+Daten!$S459=3,1,0)</f>
        <v>0</v>
      </c>
      <c r="F459" s="173">
        <f ca="1">IF(AND(Limits!$Q$21=TRUE,Daten!O459=1)=TRUE,1,0)</f>
        <v>0</v>
      </c>
      <c r="G459" s="174">
        <f>IF(AND(Limits!$Q$25=TRUE,Daten!N459=1)=TRUE,1,0)</f>
        <v>0</v>
      </c>
      <c r="H459" s="174">
        <f>IF(AND(Limits!$Q$24=TRUE,Daten!M459=1)=TRUE,1,0)</f>
        <v>0</v>
      </c>
      <c r="I459" s="174">
        <f>IF(AND(Limits!$Q$23=TRUE,Daten!L459=1)=TRUE,1,0)</f>
        <v>0</v>
      </c>
      <c r="J459" s="174">
        <f>IF(AND(Limits!$Q$22=TRUE,Daten!K459=1)=TRUE,1,0)</f>
        <v>0</v>
      </c>
      <c r="K459" s="188">
        <f>IF(Daten!$V459=13,1,0)</f>
        <v>0</v>
      </c>
      <c r="L459" s="189">
        <f>IF(Daten!$V459&lt;&gt;Daten!$W459,1,IF(Daten!$V459=14,1,0))</f>
        <v>1</v>
      </c>
      <c r="M459" s="189">
        <f>IF(Daten!$V459&lt;&gt;Daten!$W459,1,IF(Daten!$V459=16,1,0))</f>
        <v>0</v>
      </c>
      <c r="N459" s="189">
        <f>IF(Daten!$W459=17,1,0)</f>
        <v>0</v>
      </c>
      <c r="O459" s="190">
        <f ca="1">IF(Daten!$X459=Sprache!$A$70,1,0)</f>
        <v>0</v>
      </c>
      <c r="P459" s="191">
        <f>IF(AND(Daten!$AQ459&lt;=KINVARO!$AW$3,Daten!$AR459&gt;=KINVARO!$AW$3)=TRUE,1,0)</f>
        <v>1</v>
      </c>
      <c r="Q459" s="192">
        <f>IF(AND(Daten!$AA459&lt;=KINVARO!$AW$4,Daten!$AB459&gt;=KINVARO!$AW$4)=TRUE,1,0)</f>
        <v>0</v>
      </c>
      <c r="R459" s="192"/>
      <c r="S459" s="192">
        <f>IF(AND(Daten!$AD459&lt;=Limits!$I$70,Daten!$AE459&gt;=Limits!$I$70)=TRUE,1,0)</f>
        <v>0</v>
      </c>
      <c r="T459" s="193">
        <f ca="1">IF(Daten!$Y459=Sprache!$A$135,1,0)</f>
        <v>0</v>
      </c>
      <c r="U459" s="124" t="str">
        <f ca="1">Sprache!$A$67</f>
        <v>T-70 Поворотный подъемник</v>
      </c>
      <c r="V459" s="194">
        <v>14</v>
      </c>
      <c r="W459" s="193">
        <v>14</v>
      </c>
      <c r="X459" s="187" t="str">
        <f ca="1">Sprache!$A$141</f>
        <v>Alu</v>
      </c>
      <c r="Y459" s="187" t="str">
        <f ca="1">Sprache!$A$136</f>
        <v>nein</v>
      </c>
      <c r="Z459" s="187" t="str">
        <f ca="1">Sprache!$A$79</f>
        <v>Створка</v>
      </c>
      <c r="AA459" s="187">
        <v>350</v>
      </c>
      <c r="AB459" s="124">
        <v>399</v>
      </c>
      <c r="AC459" s="187"/>
      <c r="AD459" s="195">
        <v>2.2999999999999998</v>
      </c>
      <c r="AE459" s="196">
        <v>7.5</v>
      </c>
      <c r="AF459" s="263" t="str">
        <f>MID(Tabelle2[[#This Row],[bnr full]],1,4)</f>
        <v>F151</v>
      </c>
      <c r="AG459" s="264" t="str">
        <f>MID(Tabelle2[[#This Row],[bnr full]],5,3)</f>
        <v>147</v>
      </c>
      <c r="AH459" s="265" t="str">
        <f>MID(Tabelle2[[#This Row],[bnr full]],8,3)</f>
        <v>808</v>
      </c>
      <c r="AI459" s="264" t="str">
        <f>MID(Tabelle2[[#This Row],[bnr full]],11,3)</f>
        <v>201</v>
      </c>
      <c r="AJ459" s="252" t="str">
        <f>MID(Tabelle2[[#This Row],[bnr full]],11,3)</f>
        <v>201</v>
      </c>
      <c r="AK459" s="197" t="s">
        <v>1664</v>
      </c>
      <c r="AL459" s="124" t="str">
        <f ca="1">Sprache!$A$111</f>
        <v>Комплект (Л + П)</v>
      </c>
      <c r="AM459" s="187" t="s">
        <v>25</v>
      </c>
      <c r="AN459" s="187" t="str">
        <f ca="1">Sprache!$A$128</f>
        <v>Пружина, оранжевая</v>
      </c>
      <c r="AO459" s="187" t="s">
        <v>25</v>
      </c>
      <c r="AP459" s="187" t="s">
        <v>25</v>
      </c>
      <c r="AQ459" s="187">
        <f>Limits!$K$9</f>
        <v>200</v>
      </c>
      <c r="AR459" s="124">
        <v>1200</v>
      </c>
      <c r="AS459" s="187"/>
      <c r="AT459" s="124"/>
      <c r="AV459"/>
      <c r="AX459" s="10"/>
      <c r="AY459" s="11"/>
      <c r="AZ459" s="2"/>
      <c r="BC459"/>
    </row>
    <row r="460" spans="1:55" hidden="1" x14ac:dyDescent="0.25">
      <c r="A460" s="12" t="str">
        <f ca="1">IF(F460+G460+H460+I460+J460+D460+E460=3,IF(Tabelle2[[#This Row],[Kappe Weiß]]=Limits!$R$29,1,""),"")</f>
        <v/>
      </c>
      <c r="B460" s="12" t="str">
        <f ca="1">IF(G460+H460+I460+J460+E460+F460=2,IF(Tabelle2[[#This Row],[Kappe Weiß]]=Limits!$R$29,1,""),"")</f>
        <v/>
      </c>
      <c r="C460" s="291">
        <v>1</v>
      </c>
      <c r="D460" s="171">
        <f>IF(Limits!$P$7=TRUE,1,0)</f>
        <v>0</v>
      </c>
      <c r="E460" s="172">
        <f>IF(Daten!$P460+Daten!$Q460+Daten!$S460=3,1,0)</f>
        <v>0</v>
      </c>
      <c r="F460" s="173">
        <f ca="1">IF(AND(Limits!$Q$21=TRUE,Daten!O460=1)=TRUE,1,0)</f>
        <v>0</v>
      </c>
      <c r="G460" s="174">
        <f>IF(AND(Limits!$Q$25=TRUE,Daten!N460=1)=TRUE,1,0)</f>
        <v>0</v>
      </c>
      <c r="H460" s="174">
        <f>IF(AND(Limits!$Q$24=TRUE,Daten!M460=1)=TRUE,1,0)</f>
        <v>0</v>
      </c>
      <c r="I460" s="174">
        <f>IF(AND(Limits!$Q$23=TRUE,Daten!L460=1)=TRUE,1,0)</f>
        <v>0</v>
      </c>
      <c r="J460" s="174">
        <f>IF(AND(Limits!$Q$22=TRUE,Daten!K460=1)=TRUE,1,0)</f>
        <v>0</v>
      </c>
      <c r="K460" s="188">
        <f>IF(Daten!$V460=13,1,0)</f>
        <v>0</v>
      </c>
      <c r="L460" s="189">
        <f>IF(Daten!$V460&lt;&gt;Daten!$W460,1,IF(Daten!$V460=14,1,0))</f>
        <v>0</v>
      </c>
      <c r="M460" s="189">
        <f>IF(Daten!$V460&lt;&gt;Daten!$W460,1,IF(Daten!$V460=16,1,0))</f>
        <v>1</v>
      </c>
      <c r="N460" s="189">
        <f>IF(Daten!$W460=17,1,0)</f>
        <v>0</v>
      </c>
      <c r="O460" s="190">
        <f ca="1">IF(Daten!$X460=Sprache!$A$70,1,0)</f>
        <v>0</v>
      </c>
      <c r="P460" s="191">
        <f>IF(AND(Daten!$AQ460&lt;=KINVARO!$AW$3,Daten!$AR460&gt;=KINVARO!$AW$3)=TRUE,1,0)</f>
        <v>1</v>
      </c>
      <c r="Q460" s="192">
        <f>IF(AND(Daten!$AA460&lt;=KINVARO!$AW$4,Daten!$AB460&gt;=KINVARO!$AW$4)=TRUE,1,0)</f>
        <v>0</v>
      </c>
      <c r="R460" s="192"/>
      <c r="S460" s="192">
        <f>IF(AND(Daten!$AD460&lt;=Limits!$I$70,Daten!$AE460&gt;=Limits!$I$70)=TRUE,1,0)</f>
        <v>0</v>
      </c>
      <c r="T460" s="193">
        <f ca="1">IF(Daten!$Y460=Sprache!$A$135,1,0)</f>
        <v>0</v>
      </c>
      <c r="U460" s="124" t="str">
        <f ca="1">Sprache!$A$67</f>
        <v>T-70 Поворотный подъемник</v>
      </c>
      <c r="V460" s="194">
        <v>16</v>
      </c>
      <c r="W460" s="193">
        <v>16</v>
      </c>
      <c r="X460" s="187" t="str">
        <f ca="1">Sprache!$A$141</f>
        <v>Alu</v>
      </c>
      <c r="Y460" s="187" t="str">
        <f ca="1">Sprache!$A$136</f>
        <v>nein</v>
      </c>
      <c r="Z460" s="187" t="str">
        <f ca="1">Sprache!$A$79</f>
        <v>Створка</v>
      </c>
      <c r="AA460" s="187">
        <v>350</v>
      </c>
      <c r="AB460" s="124">
        <v>399</v>
      </c>
      <c r="AC460" s="187"/>
      <c r="AD460" s="195">
        <v>1.8</v>
      </c>
      <c r="AE460" s="196">
        <v>6.3</v>
      </c>
      <c r="AF460" s="263" t="str">
        <f>MID(Tabelle2[[#This Row],[bnr full]],1,4)</f>
        <v>F151</v>
      </c>
      <c r="AG460" s="264" t="str">
        <f>MID(Tabelle2[[#This Row],[bnr full]],5,3)</f>
        <v>147</v>
      </c>
      <c r="AH460" s="265" t="str">
        <f>MID(Tabelle2[[#This Row],[bnr full]],8,3)</f>
        <v>809</v>
      </c>
      <c r="AI460" s="264" t="str">
        <f>MID(Tabelle2[[#This Row],[bnr full]],11,3)</f>
        <v>201</v>
      </c>
      <c r="AJ460" s="252" t="str">
        <f>MID(Tabelle2[[#This Row],[bnr full]],11,3)</f>
        <v>201</v>
      </c>
      <c r="AK460" s="197" t="s">
        <v>1665</v>
      </c>
      <c r="AL460" s="124" t="str">
        <f ca="1">Sprache!$A$111</f>
        <v>Комплект (Л + П)</v>
      </c>
      <c r="AM460" s="187" t="s">
        <v>25</v>
      </c>
      <c r="AN460" s="187" t="str">
        <f ca="1">Sprache!$A$127</f>
        <v>Пружина, белая</v>
      </c>
      <c r="AO460" s="187" t="s">
        <v>25</v>
      </c>
      <c r="AP460" s="187" t="s">
        <v>25</v>
      </c>
      <c r="AQ460" s="187">
        <f>Limits!$K$9</f>
        <v>200</v>
      </c>
      <c r="AR460" s="124">
        <v>1200</v>
      </c>
      <c r="AS460" s="187"/>
      <c r="AT460" s="124"/>
      <c r="AV460"/>
      <c r="AX460" s="10"/>
      <c r="AY460" s="11"/>
      <c r="AZ460" s="2"/>
      <c r="BC460"/>
    </row>
    <row r="461" spans="1:55" hidden="1" x14ac:dyDescent="0.25">
      <c r="A461" s="12" t="str">
        <f ca="1">IF(F461+G461+H461+I461+J461+D461+E461=3,IF(Tabelle2[[#This Row],[Kappe Weiß]]=Limits!$R$29,1,""),"")</f>
        <v/>
      </c>
      <c r="B461" s="12" t="str">
        <f ca="1">IF(G461+H461+I461+J461+E461+F461=2,IF(Tabelle2[[#This Row],[Kappe Weiß]]=Limits!$R$29,1,""),"")</f>
        <v/>
      </c>
      <c r="C461" s="291">
        <v>1</v>
      </c>
      <c r="D461" s="171">
        <f>IF(Limits!$P$7=TRUE,1,0)</f>
        <v>0</v>
      </c>
      <c r="E461" s="172">
        <f>IF(Daten!$P461+Daten!$Q461+Daten!$S461=3,1,0)</f>
        <v>0</v>
      </c>
      <c r="F461" s="173">
        <f ca="1">IF(AND(Limits!$Q$21=TRUE,Daten!O461=1)=TRUE,1,0)</f>
        <v>0</v>
      </c>
      <c r="G461" s="174">
        <f>IF(AND(Limits!$Q$25=TRUE,Daten!N461=1)=TRUE,1,0)</f>
        <v>0</v>
      </c>
      <c r="H461" s="174">
        <f>IF(AND(Limits!$Q$24=TRUE,Daten!M461=1)=TRUE,1,0)</f>
        <v>0</v>
      </c>
      <c r="I461" s="174">
        <f>IF(AND(Limits!$Q$23=TRUE,Daten!L461=1)=TRUE,1,0)</f>
        <v>0</v>
      </c>
      <c r="J461" s="174">
        <f>IF(AND(Limits!$Q$22=TRUE,Daten!K461=1)=TRUE,1,0)</f>
        <v>0</v>
      </c>
      <c r="K461" s="188">
        <f>IF(Daten!$V461=13,1,0)</f>
        <v>0</v>
      </c>
      <c r="L461" s="189">
        <f>IF(Daten!$V461&lt;&gt;Daten!$W461,1,IF(Daten!$V461=14,1,0))</f>
        <v>0</v>
      </c>
      <c r="M461" s="189">
        <f>IF(Daten!$V461&lt;&gt;Daten!$W461,1,IF(Daten!$V461=16,1,0))</f>
        <v>1</v>
      </c>
      <c r="N461" s="189">
        <f>IF(Daten!$W461=17,1,0)</f>
        <v>0</v>
      </c>
      <c r="O461" s="190">
        <f ca="1">IF(Daten!$X461=Sprache!$A$70,1,0)</f>
        <v>0</v>
      </c>
      <c r="P461" s="191">
        <f>IF(AND(Daten!$AQ461&lt;=KINVARO!$AW$3,Daten!$AR461&gt;=KINVARO!$AW$3)=TRUE,1,0)</f>
        <v>1</v>
      </c>
      <c r="Q461" s="192">
        <f>IF(AND(Daten!$AA461&lt;=KINVARO!$AW$4,Daten!$AB461&gt;=KINVARO!$AW$4)=TRUE,1,0)</f>
        <v>0</v>
      </c>
      <c r="R461" s="192"/>
      <c r="S461" s="192">
        <f>IF(AND(Daten!$AD461&lt;=Limits!$I$70,Daten!$AE461&gt;=Limits!$I$70)=TRUE,1,0)</f>
        <v>0</v>
      </c>
      <c r="T461" s="193">
        <f ca="1">IF(Daten!$Y461=Sprache!$A$135,1,0)</f>
        <v>0</v>
      </c>
      <c r="U461" s="124" t="str">
        <f ca="1">Sprache!$A$67</f>
        <v>T-70 Поворотный подъемник</v>
      </c>
      <c r="V461" s="194">
        <v>16</v>
      </c>
      <c r="W461" s="193">
        <v>16</v>
      </c>
      <c r="X461" s="187" t="str">
        <f ca="1">Sprache!$A$141</f>
        <v>Alu</v>
      </c>
      <c r="Y461" s="187" t="str">
        <f ca="1">Sprache!$A$136</f>
        <v>nein</v>
      </c>
      <c r="Z461" s="187" t="str">
        <f ca="1">Sprache!$A$79</f>
        <v>Створка</v>
      </c>
      <c r="AA461" s="187">
        <v>350</v>
      </c>
      <c r="AB461" s="124">
        <v>399</v>
      </c>
      <c r="AC461" s="187"/>
      <c r="AD461" s="195">
        <v>2.2999999999999998</v>
      </c>
      <c r="AE461" s="196">
        <v>7.5</v>
      </c>
      <c r="AF461" s="263" t="str">
        <f>MID(Tabelle2[[#This Row],[bnr full]],1,4)</f>
        <v>F151</v>
      </c>
      <c r="AG461" s="264" t="str">
        <f>MID(Tabelle2[[#This Row],[bnr full]],5,3)</f>
        <v>147</v>
      </c>
      <c r="AH461" s="265" t="str">
        <f>MID(Tabelle2[[#This Row],[bnr full]],8,3)</f>
        <v>809</v>
      </c>
      <c r="AI461" s="264" t="str">
        <f>MID(Tabelle2[[#This Row],[bnr full]],11,3)</f>
        <v>201</v>
      </c>
      <c r="AJ461" s="252" t="str">
        <f>MID(Tabelle2[[#This Row],[bnr full]],11,3)</f>
        <v>201</v>
      </c>
      <c r="AK461" s="197" t="s">
        <v>1665</v>
      </c>
      <c r="AL461" s="124" t="str">
        <f ca="1">Sprache!$A$111</f>
        <v>Комплект (Л + П)</v>
      </c>
      <c r="AM461" s="187" t="s">
        <v>25</v>
      </c>
      <c r="AN461" s="187" t="str">
        <f ca="1">Sprache!$A$128</f>
        <v>Пружина, оранжевая</v>
      </c>
      <c r="AO461" s="187" t="s">
        <v>25</v>
      </c>
      <c r="AP461" s="187" t="s">
        <v>25</v>
      </c>
      <c r="AQ461" s="187">
        <f>Limits!$K$9</f>
        <v>200</v>
      </c>
      <c r="AR461" s="124">
        <v>1200</v>
      </c>
      <c r="AS461" s="187"/>
      <c r="AT461" s="124"/>
      <c r="AV461"/>
      <c r="AX461" s="10"/>
      <c r="AY461" s="11"/>
      <c r="AZ461" s="2"/>
      <c r="BC461"/>
    </row>
    <row r="462" spans="1:55" hidden="1" x14ac:dyDescent="0.25">
      <c r="A462" s="12" t="str">
        <f ca="1">IF(F462+G462+H462+I462+J462+D462+E462=3,IF(Tabelle2[[#This Row],[Kappe Weiß]]=Limits!$R$29,1,""),"")</f>
        <v/>
      </c>
      <c r="B462" s="12" t="str">
        <f ca="1">IF(G462+H462+I462+J462+E462+F462=2,IF(Tabelle2[[#This Row],[Kappe Weiß]]=Limits!$R$29,1,""),"")</f>
        <v/>
      </c>
      <c r="C462" s="291">
        <v>1</v>
      </c>
      <c r="D462" s="171">
        <f>IF(Limits!$P$7=TRUE,1,0)</f>
        <v>0</v>
      </c>
      <c r="E462" s="172">
        <f>IF(Daten!$P462+Daten!$Q462+Daten!$S462=3,1,0)</f>
        <v>0</v>
      </c>
      <c r="F462" s="173">
        <f ca="1">IF(AND(Limits!$Q$21=TRUE,Daten!O462=1)=TRUE,1,0)</f>
        <v>0</v>
      </c>
      <c r="G462" s="174">
        <f>IF(AND(Limits!$Q$25=TRUE,Daten!N462=1)=TRUE,1,0)</f>
        <v>0</v>
      </c>
      <c r="H462" s="174">
        <f>IF(AND(Limits!$Q$24=TRUE,Daten!M462=1)=TRUE,1,0)</f>
        <v>0</v>
      </c>
      <c r="I462" s="174">
        <f>IF(AND(Limits!$Q$23=TRUE,Daten!L462=1)=TRUE,1,0)</f>
        <v>0</v>
      </c>
      <c r="J462" s="174">
        <f>IF(AND(Limits!$Q$22=TRUE,Daten!K462=1)=TRUE,1,0)</f>
        <v>0</v>
      </c>
      <c r="K462" s="188">
        <f>IF(Daten!$V462=13,1,0)</f>
        <v>0</v>
      </c>
      <c r="L462" s="189">
        <f>IF(Daten!$V462&lt;&gt;Daten!$W462,1,IF(Daten!$V462=14,1,0))</f>
        <v>0</v>
      </c>
      <c r="M462" s="189">
        <f>IF(Daten!$V462&lt;&gt;Daten!$W462,1,IF(Daten!$V462=16,1,0))</f>
        <v>0</v>
      </c>
      <c r="N462" s="189">
        <f>IF(Daten!$W462=17,1,0)</f>
        <v>1</v>
      </c>
      <c r="O462" s="190">
        <f ca="1">IF(Daten!$X462=Sprache!$A$70,1,0)</f>
        <v>0</v>
      </c>
      <c r="P462" s="191">
        <f>IF(AND(Daten!$AQ462&lt;=KINVARO!$AW$3,Daten!$AR462&gt;=KINVARO!$AW$3)=TRUE,1,0)</f>
        <v>1</v>
      </c>
      <c r="Q462" s="192">
        <f>IF(AND(Daten!$AA462&lt;=KINVARO!$AW$4,Daten!$AB462&gt;=KINVARO!$AW$4)=TRUE,1,0)</f>
        <v>0</v>
      </c>
      <c r="R462" s="192"/>
      <c r="S462" s="192">
        <f>IF(AND(Daten!$AD462&lt;=Limits!$I$70,Daten!$AE462&gt;=Limits!$I$70)=TRUE,1,0)</f>
        <v>0</v>
      </c>
      <c r="T462" s="193">
        <f ca="1">IF(Daten!$Y462=Sprache!$A$135,1,0)</f>
        <v>0</v>
      </c>
      <c r="U462" s="124" t="str">
        <f ca="1">Sprache!$A$67</f>
        <v>T-70 Поворотный подъемник</v>
      </c>
      <c r="V462" s="194">
        <v>17</v>
      </c>
      <c r="W462" s="193">
        <v>17</v>
      </c>
      <c r="X462" s="187" t="str">
        <f ca="1">Sprache!$A$141</f>
        <v>Alu</v>
      </c>
      <c r="Y462" s="187" t="str">
        <f ca="1">Sprache!$A$136</f>
        <v>nein</v>
      </c>
      <c r="Z462" s="187" t="str">
        <f ca="1">Sprache!$A$79</f>
        <v>Створка</v>
      </c>
      <c r="AA462" s="187">
        <v>350</v>
      </c>
      <c r="AB462" s="124">
        <v>399</v>
      </c>
      <c r="AC462" s="187"/>
      <c r="AD462" s="195">
        <v>1.8</v>
      </c>
      <c r="AE462" s="196">
        <v>6.3</v>
      </c>
      <c r="AF462" s="263" t="str">
        <f>MID(Tabelle2[[#This Row],[bnr full]],1,4)</f>
        <v>F151</v>
      </c>
      <c r="AG462" s="264" t="str">
        <f>MID(Tabelle2[[#This Row],[bnr full]],5,3)</f>
        <v>147</v>
      </c>
      <c r="AH462" s="265" t="str">
        <f>MID(Tabelle2[[#This Row],[bnr full]],8,3)</f>
        <v>810</v>
      </c>
      <c r="AI462" s="264" t="str">
        <f>MID(Tabelle2[[#This Row],[bnr full]],11,3)</f>
        <v>201</v>
      </c>
      <c r="AJ462" s="252" t="str">
        <f>MID(Tabelle2[[#This Row],[bnr full]],11,3)</f>
        <v>201</v>
      </c>
      <c r="AK462" s="197" t="s">
        <v>1666</v>
      </c>
      <c r="AL462" s="124" t="str">
        <f ca="1">Sprache!$A$111</f>
        <v>Комплект (Л + П)</v>
      </c>
      <c r="AM462" s="187" t="s">
        <v>25</v>
      </c>
      <c r="AN462" s="187" t="str">
        <f ca="1">Sprache!$A$127</f>
        <v>Пружина, белая</v>
      </c>
      <c r="AO462" s="187" t="s">
        <v>25</v>
      </c>
      <c r="AP462" s="187" t="s">
        <v>25</v>
      </c>
      <c r="AQ462" s="187">
        <f>Limits!$K$9</f>
        <v>200</v>
      </c>
      <c r="AR462" s="124">
        <v>1200</v>
      </c>
      <c r="AS462" s="187"/>
      <c r="AT462" s="124"/>
      <c r="AV462"/>
      <c r="AX462" s="10"/>
      <c r="AY462" s="11"/>
      <c r="AZ462" s="2"/>
      <c r="BC462"/>
    </row>
    <row r="463" spans="1:55" hidden="1" x14ac:dyDescent="0.25">
      <c r="A463" s="12" t="str">
        <f ca="1">IF(F463+G463+H463+I463+J463+D463+E463=3,IF(Tabelle2[[#This Row],[Kappe Weiß]]=Limits!$R$29,1,""),"")</f>
        <v/>
      </c>
      <c r="B463" s="12" t="str">
        <f ca="1">IF(G463+H463+I463+J463+E463+F463=2,IF(Tabelle2[[#This Row],[Kappe Weiß]]=Limits!$R$29,1,""),"")</f>
        <v/>
      </c>
      <c r="C463" s="291">
        <v>1</v>
      </c>
      <c r="D463" s="171">
        <f>IF(Limits!$P$7=TRUE,1,0)</f>
        <v>0</v>
      </c>
      <c r="E463" s="172">
        <f>IF(Daten!$P463+Daten!$Q463+Daten!$S463=3,1,0)</f>
        <v>0</v>
      </c>
      <c r="F463" s="173">
        <f ca="1">IF(AND(Limits!$Q$21=TRUE,Daten!O463=1)=TRUE,1,0)</f>
        <v>0</v>
      </c>
      <c r="G463" s="174">
        <f>IF(AND(Limits!$Q$25=TRUE,Daten!N463=1)=TRUE,1,0)</f>
        <v>0</v>
      </c>
      <c r="H463" s="174">
        <f>IF(AND(Limits!$Q$24=TRUE,Daten!M463=1)=TRUE,1,0)</f>
        <v>0</v>
      </c>
      <c r="I463" s="174">
        <f>IF(AND(Limits!$Q$23=TRUE,Daten!L463=1)=TRUE,1,0)</f>
        <v>0</v>
      </c>
      <c r="J463" s="174">
        <f>IF(AND(Limits!$Q$22=TRUE,Daten!K463=1)=TRUE,1,0)</f>
        <v>0</v>
      </c>
      <c r="K463" s="188">
        <f>IF(Daten!$V463=13,1,0)</f>
        <v>0</v>
      </c>
      <c r="L463" s="189">
        <f>IF(Daten!$V463&lt;&gt;Daten!$W463,1,IF(Daten!$V463=14,1,0))</f>
        <v>0</v>
      </c>
      <c r="M463" s="189">
        <f>IF(Daten!$V463&lt;&gt;Daten!$W463,1,IF(Daten!$V463=16,1,0))</f>
        <v>0</v>
      </c>
      <c r="N463" s="189">
        <f>IF(Daten!$W463=17,1,0)</f>
        <v>1</v>
      </c>
      <c r="O463" s="190">
        <f ca="1">IF(Daten!$X463=Sprache!$A$70,1,0)</f>
        <v>0</v>
      </c>
      <c r="P463" s="191">
        <f>IF(AND(Daten!$AQ463&lt;=KINVARO!$AW$3,Daten!$AR463&gt;=KINVARO!$AW$3)=TRUE,1,0)</f>
        <v>1</v>
      </c>
      <c r="Q463" s="192">
        <f>IF(AND(Daten!$AA463&lt;=KINVARO!$AW$4,Daten!$AB463&gt;=KINVARO!$AW$4)=TRUE,1,0)</f>
        <v>0</v>
      </c>
      <c r="R463" s="192"/>
      <c r="S463" s="192">
        <f>IF(AND(Daten!$AD463&lt;=Limits!$I$70,Daten!$AE463&gt;=Limits!$I$70)=TRUE,1,0)</f>
        <v>0</v>
      </c>
      <c r="T463" s="193">
        <f ca="1">IF(Daten!$Y463=Sprache!$A$135,1,0)</f>
        <v>0</v>
      </c>
      <c r="U463" s="124" t="str">
        <f ca="1">Sprache!$A$67</f>
        <v>T-70 Поворотный подъемник</v>
      </c>
      <c r="V463" s="194">
        <v>17</v>
      </c>
      <c r="W463" s="193">
        <v>17</v>
      </c>
      <c r="X463" s="187" t="str">
        <f ca="1">Sprache!$A$141</f>
        <v>Alu</v>
      </c>
      <c r="Y463" s="187" t="str">
        <f ca="1">Sprache!$A$136</f>
        <v>nein</v>
      </c>
      <c r="Z463" s="187" t="str">
        <f ca="1">Sprache!$A$79</f>
        <v>Створка</v>
      </c>
      <c r="AA463" s="187">
        <v>350</v>
      </c>
      <c r="AB463" s="124">
        <v>399</v>
      </c>
      <c r="AC463" s="187"/>
      <c r="AD463" s="195">
        <v>2.2999999999999998</v>
      </c>
      <c r="AE463" s="196">
        <v>7.5</v>
      </c>
      <c r="AF463" s="263" t="str">
        <f>MID(Tabelle2[[#This Row],[bnr full]],1,4)</f>
        <v>F151</v>
      </c>
      <c r="AG463" s="264" t="str">
        <f>MID(Tabelle2[[#This Row],[bnr full]],5,3)</f>
        <v>147</v>
      </c>
      <c r="AH463" s="265" t="str">
        <f>MID(Tabelle2[[#This Row],[bnr full]],8,3)</f>
        <v>810</v>
      </c>
      <c r="AI463" s="264" t="str">
        <f>MID(Tabelle2[[#This Row],[bnr full]],11,3)</f>
        <v>201</v>
      </c>
      <c r="AJ463" s="252" t="str">
        <f>MID(Tabelle2[[#This Row],[bnr full]],11,3)</f>
        <v>201</v>
      </c>
      <c r="AK463" s="197" t="s">
        <v>1666</v>
      </c>
      <c r="AL463" s="124" t="str">
        <f ca="1">Sprache!$A$111</f>
        <v>Комплект (Л + П)</v>
      </c>
      <c r="AM463" s="187" t="s">
        <v>25</v>
      </c>
      <c r="AN463" s="187" t="str">
        <f ca="1">Sprache!$A$128</f>
        <v>Пружина, оранжевая</v>
      </c>
      <c r="AO463" s="187" t="s">
        <v>25</v>
      </c>
      <c r="AP463" s="187" t="s">
        <v>25</v>
      </c>
      <c r="AQ463" s="187">
        <f>Limits!$K$9</f>
        <v>200</v>
      </c>
      <c r="AR463" s="124">
        <v>1200</v>
      </c>
      <c r="AS463" s="187"/>
      <c r="AT463" s="124"/>
      <c r="AV463"/>
      <c r="AX463" s="10"/>
      <c r="AY463" s="11"/>
      <c r="AZ463" s="2"/>
      <c r="BC463"/>
    </row>
    <row r="464" spans="1:55" hidden="1" x14ac:dyDescent="0.25">
      <c r="A464" s="12" t="str">
        <f ca="1">IF(F464+G464+H464+I464+J464+D464+E464=3,IF(Tabelle2[[#This Row],[Kappe Weiß]]=Limits!$R$29,1,""),"")</f>
        <v/>
      </c>
      <c r="B464" s="12" t="str">
        <f ca="1">IF(G464+H464+I464+J464+E464+F464=2,IF(Tabelle2[[#This Row],[Kappe Weiß]]=Limits!$R$29,1,""),"")</f>
        <v/>
      </c>
      <c r="C464" s="292">
        <v>1</v>
      </c>
      <c r="D464" s="171">
        <f>IF(Limits!$P$7=TRUE,1,0)</f>
        <v>0</v>
      </c>
      <c r="E464" s="172">
        <f>IF(Daten!$P464+Daten!$Q464+Daten!$S464=3,1,0)</f>
        <v>0</v>
      </c>
      <c r="F464" s="173">
        <f ca="1">IF(AND(Limits!$Q$21=TRUE,Daten!O464=1)=TRUE,1,0)</f>
        <v>1</v>
      </c>
      <c r="G464" s="174">
        <f ca="1">IF(AND(Limits!$Q$25=TRUE,Daten!N464=1)=TRUE,1,0)</f>
        <v>0</v>
      </c>
      <c r="H464" s="174">
        <f ca="1">IF(AND(Limits!$Q$24=TRUE,Daten!M464=1)=TRUE,1,0)</f>
        <v>0</v>
      </c>
      <c r="I464" s="174">
        <f ca="1">IF(AND(Limits!$Q$23=TRUE,Daten!L464=1)=TRUE,1,0)</f>
        <v>0</v>
      </c>
      <c r="J464" s="174">
        <f ca="1">IF(AND(Limits!$Q$22=TRUE,Daten!K464=1)=TRUE,1,0)</f>
        <v>0</v>
      </c>
      <c r="K464" s="188">
        <f ca="1">IF(Daten!$V464=13,1,0)</f>
        <v>0</v>
      </c>
      <c r="L464" s="189">
        <f ca="1">IF(Daten!$V464&lt;&gt;Daten!$W464,1,IF(Daten!$V464=14,1,0))</f>
        <v>0</v>
      </c>
      <c r="M464" s="189">
        <f ca="1">IF(Daten!$V464&lt;&gt;Daten!$W464,1,IF(Daten!$V464=16,1,0))</f>
        <v>0</v>
      </c>
      <c r="N464" s="189">
        <f ca="1">IF(Daten!$W464=17,1,0)</f>
        <v>0</v>
      </c>
      <c r="O464" s="190">
        <f ca="1">IF(Daten!$X464=Sprache!$A$70,1,0)</f>
        <v>1</v>
      </c>
      <c r="P464" s="198">
        <f>IF(AND(Daten!$AQ464&lt;=KINVARO!$AW$3,Daten!$AR464&gt;=KINVARO!$AW$3)=TRUE,1,0)</f>
        <v>1</v>
      </c>
      <c r="Q464" s="199">
        <f>IF(AND(Daten!$AA464&lt;=KINVARO!$AW$4,Daten!$AB464&gt;=KINVARO!$AW$4)=TRUE,1,0)</f>
        <v>0</v>
      </c>
      <c r="R464" s="199"/>
      <c r="S464" s="199">
        <f>IF(AND(Daten!$AD464&lt;=Limits!$I$70,Daten!$AE464&gt;=Limits!$I$70)=TRUE,1,0)</f>
        <v>0</v>
      </c>
      <c r="T464" s="200">
        <f ca="1">IF(Daten!$Y464=Sprache!$A$135,1,0)</f>
        <v>0</v>
      </c>
      <c r="U464" s="201" t="str">
        <f ca="1">Sprache!$A$67</f>
        <v>T-70 Поворотный подъемник</v>
      </c>
      <c r="V464" s="202" t="str">
        <f ca="1">Sprache!$A$74</f>
        <v>var</v>
      </c>
      <c r="W464" s="200" t="str">
        <f ca="1">Sprache!$A$74</f>
        <v>var</v>
      </c>
      <c r="X464" s="203" t="str">
        <f ca="1">Sprache!$A$70</f>
        <v>соединение с древесиной</v>
      </c>
      <c r="Y464" s="187" t="str">
        <f ca="1">Sprache!$A$136</f>
        <v>nein</v>
      </c>
      <c r="Z464" s="203" t="str">
        <f ca="1">Sprache!$A$79</f>
        <v>Створка</v>
      </c>
      <c r="AA464" s="203">
        <v>400</v>
      </c>
      <c r="AB464" s="201">
        <v>449</v>
      </c>
      <c r="AC464" s="203"/>
      <c r="AD464" s="204">
        <v>1.7</v>
      </c>
      <c r="AE464" s="205">
        <v>5.4</v>
      </c>
      <c r="AF464" s="266" t="str">
        <f>MID(Tabelle2[[#This Row],[bnr full]],1,4)</f>
        <v>F151</v>
      </c>
      <c r="AG464" s="267" t="str">
        <f>MID(Tabelle2[[#This Row],[bnr full]],5,3)</f>
        <v>147</v>
      </c>
      <c r="AH464" s="268" t="str">
        <f>MID(Tabelle2[[#This Row],[bnr full]],8,3)</f>
        <v>693</v>
      </c>
      <c r="AI464" s="267" t="str">
        <f>MID(Tabelle2[[#This Row],[bnr full]],11,3)</f>
        <v>201</v>
      </c>
      <c r="AJ464" s="253" t="str">
        <f>MID(Tabelle2[[#This Row],[bnr full]],11,3)</f>
        <v>201</v>
      </c>
      <c r="AK464" s="206" t="s">
        <v>1662</v>
      </c>
      <c r="AL464" s="201" t="str">
        <f ca="1">Sprache!$A$111</f>
        <v>Комплект (Л + П)</v>
      </c>
      <c r="AM464" s="203" t="s">
        <v>25</v>
      </c>
      <c r="AN464" s="203" t="str">
        <f ca="1">Sprache!$A$127</f>
        <v>Пружина, белая</v>
      </c>
      <c r="AO464" s="187" t="s">
        <v>25</v>
      </c>
      <c r="AP464" s="187" t="s">
        <v>25</v>
      </c>
      <c r="AQ464" s="203">
        <f>Limits!$K$9</f>
        <v>200</v>
      </c>
      <c r="AR464" s="201">
        <v>1200</v>
      </c>
      <c r="AS464" s="187"/>
      <c r="AT464" s="124"/>
      <c r="AV464"/>
      <c r="AX464" s="10"/>
      <c r="AY464" s="11"/>
      <c r="AZ464" s="2"/>
      <c r="BC464"/>
    </row>
    <row r="465" spans="1:55" hidden="1" x14ac:dyDescent="0.25">
      <c r="A465" s="12" t="str">
        <f ca="1">IF(F465+G465+H465+I465+J465+D465+E465=3,IF(Tabelle2[[#This Row],[Kappe Weiß]]=Limits!$R$29,1,""),"")</f>
        <v/>
      </c>
      <c r="B465" s="12" t="str">
        <f ca="1">IF(G465+H465+I465+J465+E465+F465=2,IF(Tabelle2[[#This Row],[Kappe Weiß]]=Limits!$R$29,1,""),"")</f>
        <v/>
      </c>
      <c r="C465" s="291">
        <v>1</v>
      </c>
      <c r="D465" s="171">
        <f>IF(Limits!$P$7=TRUE,1,0)</f>
        <v>0</v>
      </c>
      <c r="E465" s="172">
        <f>IF(Daten!$P465+Daten!$Q465+Daten!$S465=3,1,0)</f>
        <v>0</v>
      </c>
      <c r="F465" s="173">
        <f ca="1">IF(AND(Limits!$Q$21=TRUE,Daten!O465=1)=TRUE,1,0)</f>
        <v>1</v>
      </c>
      <c r="G465" s="174">
        <f ca="1">IF(AND(Limits!$Q$25=TRUE,Daten!N465=1)=TRUE,1,0)</f>
        <v>0</v>
      </c>
      <c r="H465" s="174">
        <f ca="1">IF(AND(Limits!$Q$24=TRUE,Daten!M465=1)=TRUE,1,0)</f>
        <v>0</v>
      </c>
      <c r="I465" s="174">
        <f ca="1">IF(AND(Limits!$Q$23=TRUE,Daten!L465=1)=TRUE,1,0)</f>
        <v>0</v>
      </c>
      <c r="J465" s="174">
        <f ca="1">IF(AND(Limits!$Q$22=TRUE,Daten!K465=1)=TRUE,1,0)</f>
        <v>0</v>
      </c>
      <c r="K465" s="188">
        <f ca="1">IF(Daten!$V465=13,1,0)</f>
        <v>0</v>
      </c>
      <c r="L465" s="189">
        <f ca="1">IF(Daten!$V465&lt;&gt;Daten!$W465,1,IF(Daten!$V465=14,1,0))</f>
        <v>0</v>
      </c>
      <c r="M465" s="189">
        <f ca="1">IF(Daten!$V465&lt;&gt;Daten!$W465,1,IF(Daten!$V465=16,1,0))</f>
        <v>0</v>
      </c>
      <c r="N465" s="189">
        <f ca="1">IF(Daten!$W465=17,1,0)</f>
        <v>0</v>
      </c>
      <c r="O465" s="190">
        <f ca="1">IF(Daten!$X465=Sprache!$A$70,1,0)</f>
        <v>1</v>
      </c>
      <c r="P465" s="191">
        <f>IF(AND(Daten!$AQ465&lt;=KINVARO!$AW$3,Daten!$AR465&gt;=KINVARO!$AW$3)=TRUE,1,0)</f>
        <v>1</v>
      </c>
      <c r="Q465" s="192">
        <f>IF(AND(Daten!$AA465&lt;=KINVARO!$AW$4,Daten!$AB465&gt;=KINVARO!$AW$4)=TRUE,1,0)</f>
        <v>0</v>
      </c>
      <c r="R465" s="192"/>
      <c r="S465" s="192">
        <f>IF(AND(Daten!$AD465&lt;=Limits!$I$70,Daten!$AE465&gt;=Limits!$I$70)=TRUE,1,0)</f>
        <v>0</v>
      </c>
      <c r="T465" s="193">
        <f ca="1">IF(Daten!$Y465=Sprache!$A$135,1,0)</f>
        <v>0</v>
      </c>
      <c r="U465" s="124" t="str">
        <f ca="1">Sprache!$A$67</f>
        <v>T-70 Поворотный подъемник</v>
      </c>
      <c r="V465" s="194" t="str">
        <f ca="1">Sprache!$A$74</f>
        <v>var</v>
      </c>
      <c r="W465" s="193" t="str">
        <f ca="1">Sprache!$A$74</f>
        <v>var</v>
      </c>
      <c r="X465" s="187" t="str">
        <f ca="1">Sprache!$A$70</f>
        <v>соединение с древесиной</v>
      </c>
      <c r="Y465" s="187" t="str">
        <f ca="1">Sprache!$A$136</f>
        <v>nein</v>
      </c>
      <c r="Z465" s="187" t="str">
        <f ca="1">Sprache!$A$79</f>
        <v>Створка</v>
      </c>
      <c r="AA465" s="187">
        <v>400</v>
      </c>
      <c r="AB465" s="124">
        <v>449</v>
      </c>
      <c r="AC465" s="187"/>
      <c r="AD465" s="195">
        <v>2.1</v>
      </c>
      <c r="AE465" s="196">
        <v>6.8</v>
      </c>
      <c r="AF465" s="263" t="str">
        <f>MID(Tabelle2[[#This Row],[bnr full]],1,4)</f>
        <v>F151</v>
      </c>
      <c r="AG465" s="264" t="str">
        <f>MID(Tabelle2[[#This Row],[bnr full]],5,3)</f>
        <v>147</v>
      </c>
      <c r="AH465" s="265" t="str">
        <f>MID(Tabelle2[[#This Row],[bnr full]],8,3)</f>
        <v>693</v>
      </c>
      <c r="AI465" s="264" t="str">
        <f>MID(Tabelle2[[#This Row],[bnr full]],11,3)</f>
        <v>201</v>
      </c>
      <c r="AJ465" s="252" t="str">
        <f>MID(Tabelle2[[#This Row],[bnr full]],11,3)</f>
        <v>201</v>
      </c>
      <c r="AK465" s="197" t="s">
        <v>1662</v>
      </c>
      <c r="AL465" s="124" t="str">
        <f ca="1">Sprache!$A$111</f>
        <v>Комплект (Л + П)</v>
      </c>
      <c r="AM465" s="187" t="s">
        <v>25</v>
      </c>
      <c r="AN465" s="187" t="str">
        <f ca="1">Sprache!$A$128</f>
        <v>Пружина, оранжевая</v>
      </c>
      <c r="AO465" s="187" t="s">
        <v>25</v>
      </c>
      <c r="AP465" s="187" t="s">
        <v>25</v>
      </c>
      <c r="AQ465" s="187">
        <f>Limits!$K$9</f>
        <v>200</v>
      </c>
      <c r="AR465" s="124">
        <v>1200</v>
      </c>
      <c r="AS465" s="187"/>
      <c r="AT465" s="124"/>
      <c r="AV465"/>
      <c r="AX465" s="10"/>
      <c r="AY465" s="11"/>
      <c r="AZ465" s="2"/>
      <c r="BC465"/>
    </row>
    <row r="466" spans="1:55" hidden="1" x14ac:dyDescent="0.25">
      <c r="A466" s="12" t="str">
        <f ca="1">IF(F466+G466+H466+I466+J466+D466+E466=3,IF(Tabelle2[[#This Row],[Kappe Weiß]]=Limits!$R$29,1,""),"")</f>
        <v/>
      </c>
      <c r="B466" s="12" t="str">
        <f ca="1">IF(G466+H466+I466+J466+E466+F466=2,IF(Tabelle2[[#This Row],[Kappe Weiß]]=Limits!$R$29,1,""),"")</f>
        <v/>
      </c>
      <c r="C466" s="291">
        <v>1</v>
      </c>
      <c r="D466" s="171">
        <f>IF(Limits!$P$7=TRUE,1,0)</f>
        <v>0</v>
      </c>
      <c r="E466" s="172">
        <f>IF(Daten!$P466+Daten!$Q466+Daten!$S466=3,1,0)</f>
        <v>0</v>
      </c>
      <c r="F466" s="173">
        <f ca="1">IF(AND(Limits!$Q$21=TRUE,Daten!O466=1)=TRUE,1,0)</f>
        <v>0</v>
      </c>
      <c r="G466" s="174">
        <f>IF(AND(Limits!$Q$25=TRUE,Daten!N466=1)=TRUE,1,0)</f>
        <v>0</v>
      </c>
      <c r="H466" s="174">
        <f>IF(AND(Limits!$Q$24=TRUE,Daten!M466=1)=TRUE,1,0)</f>
        <v>0</v>
      </c>
      <c r="I466" s="174">
        <f>IF(AND(Limits!$Q$23=TRUE,Daten!L466=1)=TRUE,1,0)</f>
        <v>0</v>
      </c>
      <c r="J466" s="174">
        <f>IF(AND(Limits!$Q$22=TRUE,Daten!K466=1)=TRUE,1,0)</f>
        <v>0</v>
      </c>
      <c r="K466" s="188">
        <f>IF(Daten!$V466=13,1,0)</f>
        <v>1</v>
      </c>
      <c r="L466" s="189">
        <f>IF(Daten!$V466&lt;&gt;Daten!$W466,1,IF(Daten!$V466=14,1,0))</f>
        <v>0</v>
      </c>
      <c r="M466" s="189">
        <f>IF(Daten!$V466&lt;&gt;Daten!$W466,1,IF(Daten!$V466=16,1,0))</f>
        <v>0</v>
      </c>
      <c r="N466" s="189">
        <f>IF(Daten!$W466=17,1,0)</f>
        <v>0</v>
      </c>
      <c r="O466" s="190">
        <f ca="1">IF(Daten!$X466=Sprache!$A$70,1,0)</f>
        <v>0</v>
      </c>
      <c r="P466" s="191">
        <f>IF(AND(Daten!$AQ466&lt;=KINVARO!$AW$3,Daten!$AR466&gt;=KINVARO!$AW$3)=TRUE,1,0)</f>
        <v>1</v>
      </c>
      <c r="Q466" s="192">
        <f>IF(AND(Daten!$AA466&lt;=KINVARO!$AW$4,Daten!$AB466&gt;=KINVARO!$AW$4)=TRUE,1,0)</f>
        <v>0</v>
      </c>
      <c r="R466" s="192"/>
      <c r="S466" s="192">
        <f>IF(AND(Daten!$AD466&lt;=Limits!$I$70,Daten!$AE466&gt;=Limits!$I$70)=TRUE,1,0)</f>
        <v>0</v>
      </c>
      <c r="T466" s="193">
        <f ca="1">IF(Daten!$Y466=Sprache!$A$135,1,0)</f>
        <v>0</v>
      </c>
      <c r="U466" s="124" t="str">
        <f ca="1">Sprache!$A$67</f>
        <v>T-70 Поворотный подъемник</v>
      </c>
      <c r="V466" s="194">
        <v>13</v>
      </c>
      <c r="W466" s="193">
        <v>13</v>
      </c>
      <c r="X466" s="187" t="str">
        <f ca="1">Sprache!$A$141</f>
        <v>Alu</v>
      </c>
      <c r="Y466" s="187" t="str">
        <f ca="1">Sprache!$A$136</f>
        <v>nein</v>
      </c>
      <c r="Z466" s="187" t="str">
        <f ca="1">Sprache!$A$79</f>
        <v>Створка</v>
      </c>
      <c r="AA466" s="187">
        <v>400</v>
      </c>
      <c r="AB466" s="124">
        <v>449</v>
      </c>
      <c r="AC466" s="187"/>
      <c r="AD466" s="195">
        <v>1.7</v>
      </c>
      <c r="AE466" s="196">
        <v>5.4</v>
      </c>
      <c r="AF466" s="263" t="str">
        <f>MID(Tabelle2[[#This Row],[bnr full]],1,4)</f>
        <v>F151</v>
      </c>
      <c r="AG466" s="264" t="str">
        <f>MID(Tabelle2[[#This Row],[bnr full]],5,3)</f>
        <v>147</v>
      </c>
      <c r="AH466" s="265" t="str">
        <f>MID(Tabelle2[[#This Row],[bnr full]],8,3)</f>
        <v>807</v>
      </c>
      <c r="AI466" s="264" t="str">
        <f>MID(Tabelle2[[#This Row],[bnr full]],11,3)</f>
        <v>201</v>
      </c>
      <c r="AJ466" s="252" t="str">
        <f>MID(Tabelle2[[#This Row],[bnr full]],11,3)</f>
        <v>201</v>
      </c>
      <c r="AK466" s="197" t="s">
        <v>1663</v>
      </c>
      <c r="AL466" s="124" t="str">
        <f ca="1">Sprache!$A$111</f>
        <v>Комплект (Л + П)</v>
      </c>
      <c r="AM466" s="187" t="s">
        <v>25</v>
      </c>
      <c r="AN466" s="187" t="str">
        <f ca="1">Sprache!$A$127</f>
        <v>Пружина, белая</v>
      </c>
      <c r="AO466" s="187" t="s">
        <v>25</v>
      </c>
      <c r="AP466" s="187" t="s">
        <v>25</v>
      </c>
      <c r="AQ466" s="187">
        <f>Limits!$K$9</f>
        <v>200</v>
      </c>
      <c r="AR466" s="124">
        <v>1200</v>
      </c>
      <c r="AS466" s="187"/>
      <c r="AT466" s="124"/>
      <c r="AV466"/>
      <c r="AX466" s="10"/>
      <c r="AY466" s="11"/>
      <c r="AZ466" s="2"/>
      <c r="BC466"/>
    </row>
    <row r="467" spans="1:55" hidden="1" x14ac:dyDescent="0.25">
      <c r="A467" s="12" t="str">
        <f ca="1">IF(F467+G467+H467+I467+J467+D467+E467=3,IF(Tabelle2[[#This Row],[Kappe Weiß]]=Limits!$R$29,1,""),"")</f>
        <v/>
      </c>
      <c r="B467" s="12" t="str">
        <f ca="1">IF(G467+H467+I467+J467+E467+F467=2,IF(Tabelle2[[#This Row],[Kappe Weiß]]=Limits!$R$29,1,""),"")</f>
        <v/>
      </c>
      <c r="C467" s="291">
        <v>1</v>
      </c>
      <c r="D467" s="171">
        <f>IF(Limits!$P$7=TRUE,1,0)</f>
        <v>0</v>
      </c>
      <c r="E467" s="172">
        <f>IF(Daten!$P467+Daten!$Q467+Daten!$S467=3,1,0)</f>
        <v>0</v>
      </c>
      <c r="F467" s="173">
        <f ca="1">IF(AND(Limits!$Q$21=TRUE,Daten!O467=1)=TRUE,1,0)</f>
        <v>0</v>
      </c>
      <c r="G467" s="174">
        <f>IF(AND(Limits!$Q$25=TRUE,Daten!N467=1)=TRUE,1,0)</f>
        <v>0</v>
      </c>
      <c r="H467" s="174">
        <f>IF(AND(Limits!$Q$24=TRUE,Daten!M467=1)=TRUE,1,0)</f>
        <v>0</v>
      </c>
      <c r="I467" s="174">
        <f>IF(AND(Limits!$Q$23=TRUE,Daten!L467=1)=TRUE,1,0)</f>
        <v>0</v>
      </c>
      <c r="J467" s="174">
        <f>IF(AND(Limits!$Q$22=TRUE,Daten!K467=1)=TRUE,1,0)</f>
        <v>0</v>
      </c>
      <c r="K467" s="188">
        <f>IF(Daten!$V467=13,1,0)</f>
        <v>1</v>
      </c>
      <c r="L467" s="189">
        <f>IF(Daten!$V467&lt;&gt;Daten!$W467,1,IF(Daten!$V467=14,1,0))</f>
        <v>0</v>
      </c>
      <c r="M467" s="189">
        <f>IF(Daten!$V467&lt;&gt;Daten!$W467,1,IF(Daten!$V467=16,1,0))</f>
        <v>0</v>
      </c>
      <c r="N467" s="189">
        <f>IF(Daten!$W467=17,1,0)</f>
        <v>0</v>
      </c>
      <c r="O467" s="190">
        <f ca="1">IF(Daten!$X467=Sprache!$A$70,1,0)</f>
        <v>0</v>
      </c>
      <c r="P467" s="191">
        <f>IF(AND(Daten!$AQ467&lt;=KINVARO!$AW$3,Daten!$AR467&gt;=KINVARO!$AW$3)=TRUE,1,0)</f>
        <v>1</v>
      </c>
      <c r="Q467" s="192">
        <f>IF(AND(Daten!$AA467&lt;=KINVARO!$AW$4,Daten!$AB467&gt;=KINVARO!$AW$4)=TRUE,1,0)</f>
        <v>0</v>
      </c>
      <c r="R467" s="192"/>
      <c r="S467" s="192">
        <f>IF(AND(Daten!$AD467&lt;=Limits!$I$70,Daten!$AE467&gt;=Limits!$I$70)=TRUE,1,0)</f>
        <v>0</v>
      </c>
      <c r="T467" s="193">
        <f ca="1">IF(Daten!$Y467=Sprache!$A$135,1,0)</f>
        <v>0</v>
      </c>
      <c r="U467" s="124" t="str">
        <f ca="1">Sprache!$A$67</f>
        <v>T-70 Поворотный подъемник</v>
      </c>
      <c r="V467" s="194">
        <v>13</v>
      </c>
      <c r="W467" s="193">
        <v>13</v>
      </c>
      <c r="X467" s="187" t="str">
        <f ca="1">Sprache!$A$141</f>
        <v>Alu</v>
      </c>
      <c r="Y467" s="187" t="str">
        <f ca="1">Sprache!$A$136</f>
        <v>nein</v>
      </c>
      <c r="Z467" s="187" t="str">
        <f ca="1">Sprache!$A$79</f>
        <v>Створка</v>
      </c>
      <c r="AA467" s="187">
        <v>400</v>
      </c>
      <c r="AB467" s="124">
        <v>449</v>
      </c>
      <c r="AC467" s="187"/>
      <c r="AD467" s="195">
        <v>2.1</v>
      </c>
      <c r="AE467" s="196">
        <v>6.8</v>
      </c>
      <c r="AF467" s="263" t="str">
        <f>MID(Tabelle2[[#This Row],[bnr full]],1,4)</f>
        <v>F151</v>
      </c>
      <c r="AG467" s="264" t="str">
        <f>MID(Tabelle2[[#This Row],[bnr full]],5,3)</f>
        <v>147</v>
      </c>
      <c r="AH467" s="265" t="str">
        <f>MID(Tabelle2[[#This Row],[bnr full]],8,3)</f>
        <v>807</v>
      </c>
      <c r="AI467" s="264" t="str">
        <f>MID(Tabelle2[[#This Row],[bnr full]],11,3)</f>
        <v>201</v>
      </c>
      <c r="AJ467" s="252" t="str">
        <f>MID(Tabelle2[[#This Row],[bnr full]],11,3)</f>
        <v>201</v>
      </c>
      <c r="AK467" s="197" t="s">
        <v>1663</v>
      </c>
      <c r="AL467" s="124" t="str">
        <f ca="1">Sprache!$A$111</f>
        <v>Комплект (Л + П)</v>
      </c>
      <c r="AM467" s="187" t="s">
        <v>25</v>
      </c>
      <c r="AN467" s="187" t="str">
        <f ca="1">Sprache!$A$128</f>
        <v>Пружина, оранжевая</v>
      </c>
      <c r="AO467" s="187" t="s">
        <v>25</v>
      </c>
      <c r="AP467" s="187" t="s">
        <v>25</v>
      </c>
      <c r="AQ467" s="187">
        <f>Limits!$K$9</f>
        <v>200</v>
      </c>
      <c r="AR467" s="124">
        <v>1200</v>
      </c>
      <c r="AS467" s="187"/>
      <c r="AT467" s="124"/>
      <c r="AV467"/>
      <c r="AX467" s="10"/>
      <c r="AY467" s="11"/>
      <c r="AZ467" s="2"/>
      <c r="BC467"/>
    </row>
    <row r="468" spans="1:55" hidden="1" x14ac:dyDescent="0.25">
      <c r="A468" s="12" t="str">
        <f ca="1">IF(F468+G468+H468+I468+J468+D468+E468=3,IF(Tabelle2[[#This Row],[Kappe Weiß]]=Limits!$R$29,1,""),"")</f>
        <v/>
      </c>
      <c r="B468" s="12" t="str">
        <f ca="1">IF(G468+H468+I468+J468+E468+F468=2,IF(Tabelle2[[#This Row],[Kappe Weiß]]=Limits!$R$29,1,""),"")</f>
        <v/>
      </c>
      <c r="C468" s="291">
        <v>1</v>
      </c>
      <c r="D468" s="171">
        <f>IF(Limits!$P$7=TRUE,1,0)</f>
        <v>0</v>
      </c>
      <c r="E468" s="172">
        <f>IF(Daten!$P468+Daten!$Q468+Daten!$S468=3,1,0)</f>
        <v>0</v>
      </c>
      <c r="F468" s="173">
        <f ca="1">IF(AND(Limits!$Q$21=TRUE,Daten!O468=1)=TRUE,1,0)</f>
        <v>0</v>
      </c>
      <c r="G468" s="174">
        <f>IF(AND(Limits!$Q$25=TRUE,Daten!N468=1)=TRUE,1,0)</f>
        <v>0</v>
      </c>
      <c r="H468" s="174">
        <f>IF(AND(Limits!$Q$24=TRUE,Daten!M468=1)=TRUE,1,0)</f>
        <v>0</v>
      </c>
      <c r="I468" s="174">
        <f>IF(AND(Limits!$Q$23=TRUE,Daten!L468=1)=TRUE,1,0)</f>
        <v>0</v>
      </c>
      <c r="J468" s="174">
        <f>IF(AND(Limits!$Q$22=TRUE,Daten!K468=1)=TRUE,1,0)</f>
        <v>0</v>
      </c>
      <c r="K468" s="188">
        <f>IF(Daten!$V468=13,1,0)</f>
        <v>0</v>
      </c>
      <c r="L468" s="189">
        <f>IF(Daten!$V468&lt;&gt;Daten!$W468,1,IF(Daten!$V468=14,1,0))</f>
        <v>1</v>
      </c>
      <c r="M468" s="189">
        <f>IF(Daten!$V468&lt;&gt;Daten!$W468,1,IF(Daten!$V468=16,1,0))</f>
        <v>0</v>
      </c>
      <c r="N468" s="189">
        <f>IF(Daten!$W468=17,1,0)</f>
        <v>0</v>
      </c>
      <c r="O468" s="190">
        <f ca="1">IF(Daten!$X468=Sprache!$A$70,1,0)</f>
        <v>0</v>
      </c>
      <c r="P468" s="191">
        <f>IF(AND(Daten!$AQ468&lt;=KINVARO!$AW$3,Daten!$AR468&gt;=KINVARO!$AW$3)=TRUE,1,0)</f>
        <v>1</v>
      </c>
      <c r="Q468" s="192">
        <f>IF(AND(Daten!$AA468&lt;=KINVARO!$AW$4,Daten!$AB468&gt;=KINVARO!$AW$4)=TRUE,1,0)</f>
        <v>0</v>
      </c>
      <c r="R468" s="192"/>
      <c r="S468" s="192">
        <f>IF(AND(Daten!$AD468&lt;=Limits!$I$70,Daten!$AE468&gt;=Limits!$I$70)=TRUE,1,0)</f>
        <v>0</v>
      </c>
      <c r="T468" s="193">
        <f ca="1">IF(Daten!$Y468=Sprache!$A$135,1,0)</f>
        <v>0</v>
      </c>
      <c r="U468" s="124" t="str">
        <f ca="1">Sprache!$A$67</f>
        <v>T-70 Поворотный подъемник</v>
      </c>
      <c r="V468" s="194">
        <v>14</v>
      </c>
      <c r="W468" s="193">
        <v>14</v>
      </c>
      <c r="X468" s="187" t="str">
        <f ca="1">Sprache!$A$141</f>
        <v>Alu</v>
      </c>
      <c r="Y468" s="187" t="str">
        <f ca="1">Sprache!$A$136</f>
        <v>nein</v>
      </c>
      <c r="Z468" s="187" t="str">
        <f ca="1">Sprache!$A$79</f>
        <v>Створка</v>
      </c>
      <c r="AA468" s="187">
        <v>400</v>
      </c>
      <c r="AB468" s="124">
        <v>449</v>
      </c>
      <c r="AC468" s="187"/>
      <c r="AD468" s="195">
        <v>1.7</v>
      </c>
      <c r="AE468" s="196">
        <v>5.4</v>
      </c>
      <c r="AF468" s="263" t="str">
        <f>MID(Tabelle2[[#This Row],[bnr full]],1,4)</f>
        <v>F151</v>
      </c>
      <c r="AG468" s="264" t="str">
        <f>MID(Tabelle2[[#This Row],[bnr full]],5,3)</f>
        <v>147</v>
      </c>
      <c r="AH468" s="265" t="str">
        <f>MID(Tabelle2[[#This Row],[bnr full]],8,3)</f>
        <v>808</v>
      </c>
      <c r="AI468" s="264" t="str">
        <f>MID(Tabelle2[[#This Row],[bnr full]],11,3)</f>
        <v>201</v>
      </c>
      <c r="AJ468" s="252" t="str">
        <f>MID(Tabelle2[[#This Row],[bnr full]],11,3)</f>
        <v>201</v>
      </c>
      <c r="AK468" s="197" t="s">
        <v>1664</v>
      </c>
      <c r="AL468" s="124" t="str">
        <f ca="1">Sprache!$A$111</f>
        <v>Комплект (Л + П)</v>
      </c>
      <c r="AM468" s="187" t="s">
        <v>25</v>
      </c>
      <c r="AN468" s="187" t="str">
        <f ca="1">Sprache!$A$127</f>
        <v>Пружина, белая</v>
      </c>
      <c r="AO468" s="187" t="s">
        <v>25</v>
      </c>
      <c r="AP468" s="187" t="s">
        <v>25</v>
      </c>
      <c r="AQ468" s="187">
        <f>Limits!$K$9</f>
        <v>200</v>
      </c>
      <c r="AR468" s="124">
        <v>1200</v>
      </c>
      <c r="AS468" s="187"/>
      <c r="AT468" s="124"/>
      <c r="AV468"/>
      <c r="AX468" s="10"/>
      <c r="AY468" s="11"/>
      <c r="AZ468" s="2"/>
      <c r="BC468"/>
    </row>
    <row r="469" spans="1:55" hidden="1" x14ac:dyDescent="0.25">
      <c r="A469" s="12" t="str">
        <f ca="1">IF(F469+G469+H469+I469+J469+D469+E469=3,IF(Tabelle2[[#This Row],[Kappe Weiß]]=Limits!$R$29,1,""),"")</f>
        <v/>
      </c>
      <c r="B469" s="12" t="str">
        <f ca="1">IF(G469+H469+I469+J469+E469+F469=2,IF(Tabelle2[[#This Row],[Kappe Weiß]]=Limits!$R$29,1,""),"")</f>
        <v/>
      </c>
      <c r="C469" s="291">
        <v>1</v>
      </c>
      <c r="D469" s="171">
        <f>IF(Limits!$P$7=TRUE,1,0)</f>
        <v>0</v>
      </c>
      <c r="E469" s="172">
        <f>IF(Daten!$P469+Daten!$Q469+Daten!$S469=3,1,0)</f>
        <v>0</v>
      </c>
      <c r="F469" s="173">
        <f ca="1">IF(AND(Limits!$Q$21=TRUE,Daten!O469=1)=TRUE,1,0)</f>
        <v>0</v>
      </c>
      <c r="G469" s="174">
        <f>IF(AND(Limits!$Q$25=TRUE,Daten!N469=1)=TRUE,1,0)</f>
        <v>0</v>
      </c>
      <c r="H469" s="174">
        <f>IF(AND(Limits!$Q$24=TRUE,Daten!M469=1)=TRUE,1,0)</f>
        <v>0</v>
      </c>
      <c r="I469" s="174">
        <f>IF(AND(Limits!$Q$23=TRUE,Daten!L469=1)=TRUE,1,0)</f>
        <v>0</v>
      </c>
      <c r="J469" s="174">
        <f>IF(AND(Limits!$Q$22=TRUE,Daten!K469=1)=TRUE,1,0)</f>
        <v>0</v>
      </c>
      <c r="K469" s="188">
        <f>IF(Daten!$V469=13,1,0)</f>
        <v>0</v>
      </c>
      <c r="L469" s="189">
        <f>IF(Daten!$V469&lt;&gt;Daten!$W469,1,IF(Daten!$V469=14,1,0))</f>
        <v>1</v>
      </c>
      <c r="M469" s="189">
        <f>IF(Daten!$V469&lt;&gt;Daten!$W469,1,IF(Daten!$V469=16,1,0))</f>
        <v>0</v>
      </c>
      <c r="N469" s="189">
        <f>IF(Daten!$W469=17,1,0)</f>
        <v>0</v>
      </c>
      <c r="O469" s="190">
        <f ca="1">IF(Daten!$X469=Sprache!$A$70,1,0)</f>
        <v>0</v>
      </c>
      <c r="P469" s="191">
        <f>IF(AND(Daten!$AQ469&lt;=KINVARO!$AW$3,Daten!$AR469&gt;=KINVARO!$AW$3)=TRUE,1,0)</f>
        <v>1</v>
      </c>
      <c r="Q469" s="192">
        <f>IF(AND(Daten!$AA469&lt;=KINVARO!$AW$4,Daten!$AB469&gt;=KINVARO!$AW$4)=TRUE,1,0)</f>
        <v>0</v>
      </c>
      <c r="R469" s="192"/>
      <c r="S469" s="192">
        <f>IF(AND(Daten!$AD469&lt;=Limits!$I$70,Daten!$AE469&gt;=Limits!$I$70)=TRUE,1,0)</f>
        <v>0</v>
      </c>
      <c r="T469" s="193">
        <f ca="1">IF(Daten!$Y469=Sprache!$A$135,1,0)</f>
        <v>0</v>
      </c>
      <c r="U469" s="124" t="str">
        <f ca="1">Sprache!$A$67</f>
        <v>T-70 Поворотный подъемник</v>
      </c>
      <c r="V469" s="194">
        <v>14</v>
      </c>
      <c r="W469" s="193">
        <v>14</v>
      </c>
      <c r="X469" s="187" t="str">
        <f ca="1">Sprache!$A$141</f>
        <v>Alu</v>
      </c>
      <c r="Y469" s="187" t="str">
        <f ca="1">Sprache!$A$136</f>
        <v>nein</v>
      </c>
      <c r="Z469" s="187" t="str">
        <f ca="1">Sprache!$A$79</f>
        <v>Створка</v>
      </c>
      <c r="AA469" s="187">
        <v>400</v>
      </c>
      <c r="AB469" s="124">
        <v>449</v>
      </c>
      <c r="AC469" s="187"/>
      <c r="AD469" s="195">
        <v>2.1</v>
      </c>
      <c r="AE469" s="196">
        <v>6.8</v>
      </c>
      <c r="AF469" s="263" t="str">
        <f>MID(Tabelle2[[#This Row],[bnr full]],1,4)</f>
        <v>F151</v>
      </c>
      <c r="AG469" s="264" t="str">
        <f>MID(Tabelle2[[#This Row],[bnr full]],5,3)</f>
        <v>147</v>
      </c>
      <c r="AH469" s="265" t="str">
        <f>MID(Tabelle2[[#This Row],[bnr full]],8,3)</f>
        <v>808</v>
      </c>
      <c r="AI469" s="264" t="str">
        <f>MID(Tabelle2[[#This Row],[bnr full]],11,3)</f>
        <v>201</v>
      </c>
      <c r="AJ469" s="252" t="str">
        <f>MID(Tabelle2[[#This Row],[bnr full]],11,3)</f>
        <v>201</v>
      </c>
      <c r="AK469" s="197" t="s">
        <v>1664</v>
      </c>
      <c r="AL469" s="124" t="str">
        <f ca="1">Sprache!$A$111</f>
        <v>Комплект (Л + П)</v>
      </c>
      <c r="AM469" s="187" t="s">
        <v>25</v>
      </c>
      <c r="AN469" s="187" t="str">
        <f ca="1">Sprache!$A$128</f>
        <v>Пружина, оранжевая</v>
      </c>
      <c r="AO469" s="187" t="s">
        <v>25</v>
      </c>
      <c r="AP469" s="187" t="s">
        <v>25</v>
      </c>
      <c r="AQ469" s="187">
        <f>Limits!$K$9</f>
        <v>200</v>
      </c>
      <c r="AR469" s="124">
        <v>1200</v>
      </c>
      <c r="AS469" s="187"/>
      <c r="AT469" s="124"/>
      <c r="AV469"/>
      <c r="AX469" s="10"/>
      <c r="AY469" s="11"/>
      <c r="AZ469" s="2"/>
      <c r="BC469"/>
    </row>
    <row r="470" spans="1:55" hidden="1" x14ac:dyDescent="0.25">
      <c r="A470" s="12" t="str">
        <f ca="1">IF(F470+G470+H470+I470+J470+D470+E470=3,IF(Tabelle2[[#This Row],[Kappe Weiß]]=Limits!$R$29,1,""),"")</f>
        <v/>
      </c>
      <c r="B470" s="12" t="str">
        <f ca="1">IF(G470+H470+I470+J470+E470+F470=2,IF(Tabelle2[[#This Row],[Kappe Weiß]]=Limits!$R$29,1,""),"")</f>
        <v/>
      </c>
      <c r="C470" s="291">
        <v>1</v>
      </c>
      <c r="D470" s="171">
        <f>IF(Limits!$P$7=TRUE,1,0)</f>
        <v>0</v>
      </c>
      <c r="E470" s="172">
        <f>IF(Daten!$P470+Daten!$Q470+Daten!$S470=3,1,0)</f>
        <v>0</v>
      </c>
      <c r="F470" s="173">
        <f ca="1">IF(AND(Limits!$Q$21=TRUE,Daten!O470=1)=TRUE,1,0)</f>
        <v>0</v>
      </c>
      <c r="G470" s="174">
        <f>IF(AND(Limits!$Q$25=TRUE,Daten!N470=1)=TRUE,1,0)</f>
        <v>0</v>
      </c>
      <c r="H470" s="174">
        <f>IF(AND(Limits!$Q$24=TRUE,Daten!M470=1)=TRUE,1,0)</f>
        <v>0</v>
      </c>
      <c r="I470" s="174">
        <f>IF(AND(Limits!$Q$23=TRUE,Daten!L470=1)=TRUE,1,0)</f>
        <v>0</v>
      </c>
      <c r="J470" s="174">
        <f>IF(AND(Limits!$Q$22=TRUE,Daten!K470=1)=TRUE,1,0)</f>
        <v>0</v>
      </c>
      <c r="K470" s="188">
        <f>IF(Daten!$V470=13,1,0)</f>
        <v>0</v>
      </c>
      <c r="L470" s="189">
        <f>IF(Daten!$V470&lt;&gt;Daten!$W470,1,IF(Daten!$V470=14,1,0))</f>
        <v>0</v>
      </c>
      <c r="M470" s="189">
        <f>IF(Daten!$V470&lt;&gt;Daten!$W470,1,IF(Daten!$V470=16,1,0))</f>
        <v>1</v>
      </c>
      <c r="N470" s="189">
        <f>IF(Daten!$W470=17,1,0)</f>
        <v>0</v>
      </c>
      <c r="O470" s="190">
        <f ca="1">IF(Daten!$X470=Sprache!$A$70,1,0)</f>
        <v>0</v>
      </c>
      <c r="P470" s="191">
        <f>IF(AND(Daten!$AQ470&lt;=KINVARO!$AW$3,Daten!$AR470&gt;=KINVARO!$AW$3)=TRUE,1,0)</f>
        <v>1</v>
      </c>
      <c r="Q470" s="192">
        <f>IF(AND(Daten!$AA470&lt;=KINVARO!$AW$4,Daten!$AB470&gt;=KINVARO!$AW$4)=TRUE,1,0)</f>
        <v>0</v>
      </c>
      <c r="R470" s="192"/>
      <c r="S470" s="192">
        <f>IF(AND(Daten!$AD470&lt;=Limits!$I$70,Daten!$AE470&gt;=Limits!$I$70)=TRUE,1,0)</f>
        <v>0</v>
      </c>
      <c r="T470" s="193">
        <f ca="1">IF(Daten!$Y470=Sprache!$A$135,1,0)</f>
        <v>0</v>
      </c>
      <c r="U470" s="124" t="str">
        <f ca="1">Sprache!$A$67</f>
        <v>T-70 Поворотный подъемник</v>
      </c>
      <c r="V470" s="194">
        <v>16</v>
      </c>
      <c r="W470" s="193">
        <v>16</v>
      </c>
      <c r="X470" s="187" t="str">
        <f ca="1">Sprache!$A$141</f>
        <v>Alu</v>
      </c>
      <c r="Y470" s="187" t="str">
        <f ca="1">Sprache!$A$136</f>
        <v>nein</v>
      </c>
      <c r="Z470" s="187" t="str">
        <f ca="1">Sprache!$A$79</f>
        <v>Створка</v>
      </c>
      <c r="AA470" s="187">
        <v>400</v>
      </c>
      <c r="AB470" s="124">
        <v>449</v>
      </c>
      <c r="AC470" s="187"/>
      <c r="AD470" s="195">
        <v>1.7</v>
      </c>
      <c r="AE470" s="196">
        <v>5.4</v>
      </c>
      <c r="AF470" s="263" t="str">
        <f>MID(Tabelle2[[#This Row],[bnr full]],1,4)</f>
        <v>F151</v>
      </c>
      <c r="AG470" s="264" t="str">
        <f>MID(Tabelle2[[#This Row],[bnr full]],5,3)</f>
        <v>147</v>
      </c>
      <c r="AH470" s="265" t="str">
        <f>MID(Tabelle2[[#This Row],[bnr full]],8,3)</f>
        <v>809</v>
      </c>
      <c r="AI470" s="264" t="str">
        <f>MID(Tabelle2[[#This Row],[bnr full]],11,3)</f>
        <v>201</v>
      </c>
      <c r="AJ470" s="252" t="str">
        <f>MID(Tabelle2[[#This Row],[bnr full]],11,3)</f>
        <v>201</v>
      </c>
      <c r="AK470" s="197" t="s">
        <v>1665</v>
      </c>
      <c r="AL470" s="124" t="str">
        <f ca="1">Sprache!$A$111</f>
        <v>Комплект (Л + П)</v>
      </c>
      <c r="AM470" s="187" t="s">
        <v>25</v>
      </c>
      <c r="AN470" s="187" t="str">
        <f ca="1">Sprache!$A$127</f>
        <v>Пружина, белая</v>
      </c>
      <c r="AO470" s="187" t="s">
        <v>25</v>
      </c>
      <c r="AP470" s="187" t="s">
        <v>25</v>
      </c>
      <c r="AQ470" s="187">
        <f>Limits!$K$9</f>
        <v>200</v>
      </c>
      <c r="AR470" s="124">
        <v>1200</v>
      </c>
      <c r="AS470" s="187"/>
      <c r="AT470" s="124"/>
      <c r="AV470"/>
      <c r="AX470" s="10"/>
      <c r="AY470" s="11"/>
      <c r="AZ470" s="2"/>
      <c r="BC470"/>
    </row>
    <row r="471" spans="1:55" hidden="1" x14ac:dyDescent="0.25">
      <c r="A471" s="12" t="str">
        <f ca="1">IF(F471+G471+H471+I471+J471+D471+E471=3,IF(Tabelle2[[#This Row],[Kappe Weiß]]=Limits!$R$29,1,""),"")</f>
        <v/>
      </c>
      <c r="B471" s="12" t="str">
        <f ca="1">IF(G471+H471+I471+J471+E471+F471=2,IF(Tabelle2[[#This Row],[Kappe Weiß]]=Limits!$R$29,1,""),"")</f>
        <v/>
      </c>
      <c r="C471" s="291">
        <v>1</v>
      </c>
      <c r="D471" s="171">
        <f>IF(Limits!$P$7=TRUE,1,0)</f>
        <v>0</v>
      </c>
      <c r="E471" s="172">
        <f>IF(Daten!$P471+Daten!$Q471+Daten!$S471=3,1,0)</f>
        <v>0</v>
      </c>
      <c r="F471" s="173">
        <f ca="1">IF(AND(Limits!$Q$21=TRUE,Daten!O471=1)=TRUE,1,0)</f>
        <v>0</v>
      </c>
      <c r="G471" s="174">
        <f>IF(AND(Limits!$Q$25=TRUE,Daten!N471=1)=TRUE,1,0)</f>
        <v>0</v>
      </c>
      <c r="H471" s="174">
        <f>IF(AND(Limits!$Q$24=TRUE,Daten!M471=1)=TRUE,1,0)</f>
        <v>0</v>
      </c>
      <c r="I471" s="174">
        <f>IF(AND(Limits!$Q$23=TRUE,Daten!L471=1)=TRUE,1,0)</f>
        <v>0</v>
      </c>
      <c r="J471" s="174">
        <f>IF(AND(Limits!$Q$22=TRUE,Daten!K471=1)=TRUE,1,0)</f>
        <v>0</v>
      </c>
      <c r="K471" s="188">
        <f>IF(Daten!$V471=13,1,0)</f>
        <v>0</v>
      </c>
      <c r="L471" s="189">
        <f>IF(Daten!$V471&lt;&gt;Daten!$W471,1,IF(Daten!$V471=14,1,0))</f>
        <v>0</v>
      </c>
      <c r="M471" s="189">
        <f>IF(Daten!$V471&lt;&gt;Daten!$W471,1,IF(Daten!$V471=16,1,0))</f>
        <v>1</v>
      </c>
      <c r="N471" s="189">
        <f>IF(Daten!$W471=17,1,0)</f>
        <v>0</v>
      </c>
      <c r="O471" s="190">
        <f ca="1">IF(Daten!$X471=Sprache!$A$70,1,0)</f>
        <v>0</v>
      </c>
      <c r="P471" s="191">
        <f>IF(AND(Daten!$AQ471&lt;=KINVARO!$AW$3,Daten!$AR471&gt;=KINVARO!$AW$3)=TRUE,1,0)</f>
        <v>1</v>
      </c>
      <c r="Q471" s="192">
        <f>IF(AND(Daten!$AA471&lt;=KINVARO!$AW$4,Daten!$AB471&gt;=KINVARO!$AW$4)=TRUE,1,0)</f>
        <v>0</v>
      </c>
      <c r="R471" s="192"/>
      <c r="S471" s="192">
        <f>IF(AND(Daten!$AD471&lt;=Limits!$I$70,Daten!$AE471&gt;=Limits!$I$70)=TRUE,1,0)</f>
        <v>0</v>
      </c>
      <c r="T471" s="193">
        <f ca="1">IF(Daten!$Y471=Sprache!$A$135,1,0)</f>
        <v>0</v>
      </c>
      <c r="U471" s="124" t="str">
        <f ca="1">Sprache!$A$67</f>
        <v>T-70 Поворотный подъемник</v>
      </c>
      <c r="V471" s="194">
        <v>16</v>
      </c>
      <c r="W471" s="193">
        <v>16</v>
      </c>
      <c r="X471" s="187" t="str">
        <f ca="1">Sprache!$A$141</f>
        <v>Alu</v>
      </c>
      <c r="Y471" s="187" t="str">
        <f ca="1">Sprache!$A$136</f>
        <v>nein</v>
      </c>
      <c r="Z471" s="187" t="str">
        <f ca="1">Sprache!$A$79</f>
        <v>Створка</v>
      </c>
      <c r="AA471" s="187">
        <v>400</v>
      </c>
      <c r="AB471" s="124">
        <v>449</v>
      </c>
      <c r="AC471" s="187"/>
      <c r="AD471" s="195">
        <v>2.1</v>
      </c>
      <c r="AE471" s="196">
        <v>6.8</v>
      </c>
      <c r="AF471" s="263" t="str">
        <f>MID(Tabelle2[[#This Row],[bnr full]],1,4)</f>
        <v>F151</v>
      </c>
      <c r="AG471" s="264" t="str">
        <f>MID(Tabelle2[[#This Row],[bnr full]],5,3)</f>
        <v>147</v>
      </c>
      <c r="AH471" s="265" t="str">
        <f>MID(Tabelle2[[#This Row],[bnr full]],8,3)</f>
        <v>809</v>
      </c>
      <c r="AI471" s="264" t="str">
        <f>MID(Tabelle2[[#This Row],[bnr full]],11,3)</f>
        <v>201</v>
      </c>
      <c r="AJ471" s="252" t="str">
        <f>MID(Tabelle2[[#This Row],[bnr full]],11,3)</f>
        <v>201</v>
      </c>
      <c r="AK471" s="197" t="s">
        <v>1665</v>
      </c>
      <c r="AL471" s="124" t="str">
        <f ca="1">Sprache!$A$111</f>
        <v>Комплект (Л + П)</v>
      </c>
      <c r="AM471" s="187" t="s">
        <v>25</v>
      </c>
      <c r="AN471" s="187" t="str">
        <f ca="1">Sprache!$A$128</f>
        <v>Пружина, оранжевая</v>
      </c>
      <c r="AO471" s="187" t="s">
        <v>25</v>
      </c>
      <c r="AP471" s="187" t="s">
        <v>25</v>
      </c>
      <c r="AQ471" s="187">
        <f>Limits!$K$9</f>
        <v>200</v>
      </c>
      <c r="AR471" s="124">
        <v>1200</v>
      </c>
      <c r="AS471" s="187"/>
      <c r="AT471" s="124"/>
      <c r="AV471"/>
      <c r="AX471" s="10"/>
      <c r="AY471" s="11"/>
      <c r="AZ471" s="2"/>
      <c r="BC471"/>
    </row>
    <row r="472" spans="1:55" hidden="1" x14ac:dyDescent="0.25">
      <c r="A472" s="12" t="str">
        <f ca="1">IF(F472+G472+H472+I472+J472+D472+E472=3,IF(Tabelle2[[#This Row],[Kappe Weiß]]=Limits!$R$29,1,""),"")</f>
        <v/>
      </c>
      <c r="B472" s="12" t="str">
        <f ca="1">IF(G472+H472+I472+J472+E472+F472=2,IF(Tabelle2[[#This Row],[Kappe Weiß]]=Limits!$R$29,1,""),"")</f>
        <v/>
      </c>
      <c r="C472" s="291">
        <v>1</v>
      </c>
      <c r="D472" s="171">
        <f>IF(Limits!$P$7=TRUE,1,0)</f>
        <v>0</v>
      </c>
      <c r="E472" s="172">
        <f>IF(Daten!$P472+Daten!$Q472+Daten!$S472=3,1,0)</f>
        <v>0</v>
      </c>
      <c r="F472" s="173">
        <f ca="1">IF(AND(Limits!$Q$21=TRUE,Daten!O472=1)=TRUE,1,0)</f>
        <v>0</v>
      </c>
      <c r="G472" s="174">
        <f>IF(AND(Limits!$Q$25=TRUE,Daten!N472=1)=TRUE,1,0)</f>
        <v>0</v>
      </c>
      <c r="H472" s="174">
        <f>IF(AND(Limits!$Q$24=TRUE,Daten!M472=1)=TRUE,1,0)</f>
        <v>0</v>
      </c>
      <c r="I472" s="174">
        <f>IF(AND(Limits!$Q$23=TRUE,Daten!L472=1)=TRUE,1,0)</f>
        <v>0</v>
      </c>
      <c r="J472" s="174">
        <f>IF(AND(Limits!$Q$22=TRUE,Daten!K472=1)=TRUE,1,0)</f>
        <v>0</v>
      </c>
      <c r="K472" s="188">
        <f>IF(Daten!$V472=13,1,0)</f>
        <v>0</v>
      </c>
      <c r="L472" s="189">
        <f>IF(Daten!$V472&lt;&gt;Daten!$W472,1,IF(Daten!$V472=14,1,0))</f>
        <v>0</v>
      </c>
      <c r="M472" s="189">
        <f>IF(Daten!$V472&lt;&gt;Daten!$W472,1,IF(Daten!$V472=16,1,0))</f>
        <v>0</v>
      </c>
      <c r="N472" s="189">
        <f>IF(Daten!$W472=17,1,0)</f>
        <v>1</v>
      </c>
      <c r="O472" s="190">
        <f ca="1">IF(Daten!$X472=Sprache!$A$70,1,0)</f>
        <v>0</v>
      </c>
      <c r="P472" s="191">
        <f>IF(AND(Daten!$AQ472&lt;=KINVARO!$AW$3,Daten!$AR472&gt;=KINVARO!$AW$3)=TRUE,1,0)</f>
        <v>1</v>
      </c>
      <c r="Q472" s="192">
        <f>IF(AND(Daten!$AA472&lt;=KINVARO!$AW$4,Daten!$AB472&gt;=KINVARO!$AW$4)=TRUE,1,0)</f>
        <v>0</v>
      </c>
      <c r="R472" s="192"/>
      <c r="S472" s="192">
        <f>IF(AND(Daten!$AD472&lt;=Limits!$I$70,Daten!$AE472&gt;=Limits!$I$70)=TRUE,1,0)</f>
        <v>0</v>
      </c>
      <c r="T472" s="193">
        <f ca="1">IF(Daten!$Y472=Sprache!$A$135,1,0)</f>
        <v>0</v>
      </c>
      <c r="U472" s="124" t="str">
        <f ca="1">Sprache!$A$67</f>
        <v>T-70 Поворотный подъемник</v>
      </c>
      <c r="V472" s="194">
        <v>17</v>
      </c>
      <c r="W472" s="193">
        <v>17</v>
      </c>
      <c r="X472" s="187" t="str">
        <f ca="1">Sprache!$A$141</f>
        <v>Alu</v>
      </c>
      <c r="Y472" s="187" t="str">
        <f ca="1">Sprache!$A$136</f>
        <v>nein</v>
      </c>
      <c r="Z472" s="187" t="str">
        <f ca="1">Sprache!$A$79</f>
        <v>Створка</v>
      </c>
      <c r="AA472" s="187">
        <v>400</v>
      </c>
      <c r="AB472" s="124">
        <v>449</v>
      </c>
      <c r="AC472" s="187"/>
      <c r="AD472" s="195">
        <v>1.7</v>
      </c>
      <c r="AE472" s="196">
        <v>5.4</v>
      </c>
      <c r="AF472" s="263" t="str">
        <f>MID(Tabelle2[[#This Row],[bnr full]],1,4)</f>
        <v>F151</v>
      </c>
      <c r="AG472" s="264" t="str">
        <f>MID(Tabelle2[[#This Row],[bnr full]],5,3)</f>
        <v>147</v>
      </c>
      <c r="AH472" s="265" t="str">
        <f>MID(Tabelle2[[#This Row],[bnr full]],8,3)</f>
        <v>810</v>
      </c>
      <c r="AI472" s="264" t="str">
        <f>MID(Tabelle2[[#This Row],[bnr full]],11,3)</f>
        <v>201</v>
      </c>
      <c r="AJ472" s="252" t="str">
        <f>MID(Tabelle2[[#This Row],[bnr full]],11,3)</f>
        <v>201</v>
      </c>
      <c r="AK472" s="197" t="s">
        <v>1666</v>
      </c>
      <c r="AL472" s="124" t="str">
        <f ca="1">Sprache!$A$111</f>
        <v>Комплект (Л + П)</v>
      </c>
      <c r="AM472" s="187" t="s">
        <v>25</v>
      </c>
      <c r="AN472" s="187" t="str">
        <f ca="1">Sprache!$A$127</f>
        <v>Пружина, белая</v>
      </c>
      <c r="AO472" s="187" t="s">
        <v>25</v>
      </c>
      <c r="AP472" s="187" t="s">
        <v>25</v>
      </c>
      <c r="AQ472" s="187">
        <f>Limits!$K$9</f>
        <v>200</v>
      </c>
      <c r="AR472" s="124">
        <v>1200</v>
      </c>
      <c r="AS472" s="187"/>
      <c r="AT472" s="124"/>
      <c r="AV472"/>
      <c r="AX472" s="10"/>
      <c r="AY472" s="11"/>
      <c r="AZ472" s="2"/>
      <c r="BC472"/>
    </row>
    <row r="473" spans="1:55" hidden="1" x14ac:dyDescent="0.25">
      <c r="A473" s="12" t="str">
        <f ca="1">IF(F473+G473+H473+I473+J473+D473+E473=3,IF(Tabelle2[[#This Row],[Kappe Weiß]]=Limits!$R$29,1,""),"")</f>
        <v/>
      </c>
      <c r="B473" s="12" t="str">
        <f ca="1">IF(G473+H473+I473+J473+E473+F473=2,IF(Tabelle2[[#This Row],[Kappe Weiß]]=Limits!$R$29,1,""),"")</f>
        <v/>
      </c>
      <c r="C473" s="291">
        <v>1</v>
      </c>
      <c r="D473" s="171">
        <f>IF(Limits!$P$7=TRUE,1,0)</f>
        <v>0</v>
      </c>
      <c r="E473" s="172">
        <f>IF(Daten!$P473+Daten!$Q473+Daten!$S473=3,1,0)</f>
        <v>0</v>
      </c>
      <c r="F473" s="173">
        <f ca="1">IF(AND(Limits!$Q$21=TRUE,Daten!O473=1)=TRUE,1,0)</f>
        <v>0</v>
      </c>
      <c r="G473" s="174">
        <f>IF(AND(Limits!$Q$25=TRUE,Daten!N473=1)=TRUE,1,0)</f>
        <v>0</v>
      </c>
      <c r="H473" s="174">
        <f>IF(AND(Limits!$Q$24=TRUE,Daten!M473=1)=TRUE,1,0)</f>
        <v>0</v>
      </c>
      <c r="I473" s="174">
        <f>IF(AND(Limits!$Q$23=TRUE,Daten!L473=1)=TRUE,1,0)</f>
        <v>0</v>
      </c>
      <c r="J473" s="174">
        <f>IF(AND(Limits!$Q$22=TRUE,Daten!K473=1)=TRUE,1,0)</f>
        <v>0</v>
      </c>
      <c r="K473" s="188">
        <f>IF(Daten!$V473=13,1,0)</f>
        <v>0</v>
      </c>
      <c r="L473" s="189">
        <f>IF(Daten!$V473&lt;&gt;Daten!$W473,1,IF(Daten!$V473=14,1,0))</f>
        <v>0</v>
      </c>
      <c r="M473" s="189">
        <f>IF(Daten!$V473&lt;&gt;Daten!$W473,1,IF(Daten!$V473=16,1,0))</f>
        <v>0</v>
      </c>
      <c r="N473" s="189">
        <f>IF(Daten!$W473=17,1,0)</f>
        <v>1</v>
      </c>
      <c r="O473" s="190">
        <f ca="1">IF(Daten!$X473=Sprache!$A$70,1,0)</f>
        <v>0</v>
      </c>
      <c r="P473" s="191">
        <f>IF(AND(Daten!$AQ473&lt;=KINVARO!$AW$3,Daten!$AR473&gt;=KINVARO!$AW$3)=TRUE,1,0)</f>
        <v>1</v>
      </c>
      <c r="Q473" s="192">
        <f>IF(AND(Daten!$AA473&lt;=KINVARO!$AW$4,Daten!$AB473&gt;=KINVARO!$AW$4)=TRUE,1,0)</f>
        <v>0</v>
      </c>
      <c r="R473" s="192"/>
      <c r="S473" s="192">
        <f>IF(AND(Daten!$AD473&lt;=Limits!$I$70,Daten!$AE473&gt;=Limits!$I$70)=TRUE,1,0)</f>
        <v>0</v>
      </c>
      <c r="T473" s="193">
        <f ca="1">IF(Daten!$Y473=Sprache!$A$135,1,0)</f>
        <v>0</v>
      </c>
      <c r="U473" s="124" t="str">
        <f ca="1">Sprache!$A$67</f>
        <v>T-70 Поворотный подъемник</v>
      </c>
      <c r="V473" s="194">
        <v>17</v>
      </c>
      <c r="W473" s="193">
        <v>17</v>
      </c>
      <c r="X473" s="187" t="str">
        <f ca="1">Sprache!$A$141</f>
        <v>Alu</v>
      </c>
      <c r="Y473" s="187" t="str">
        <f ca="1">Sprache!$A$136</f>
        <v>nein</v>
      </c>
      <c r="Z473" s="187" t="str">
        <f ca="1">Sprache!$A$79</f>
        <v>Створка</v>
      </c>
      <c r="AA473" s="187">
        <v>400</v>
      </c>
      <c r="AB473" s="124">
        <v>449</v>
      </c>
      <c r="AC473" s="187"/>
      <c r="AD473" s="195">
        <v>2.1</v>
      </c>
      <c r="AE473" s="196">
        <v>6.8</v>
      </c>
      <c r="AF473" s="263" t="str">
        <f>MID(Tabelle2[[#This Row],[bnr full]],1,4)</f>
        <v>F151</v>
      </c>
      <c r="AG473" s="264" t="str">
        <f>MID(Tabelle2[[#This Row],[bnr full]],5,3)</f>
        <v>147</v>
      </c>
      <c r="AH473" s="265" t="str">
        <f>MID(Tabelle2[[#This Row],[bnr full]],8,3)</f>
        <v>810</v>
      </c>
      <c r="AI473" s="264" t="str">
        <f>MID(Tabelle2[[#This Row],[bnr full]],11,3)</f>
        <v>201</v>
      </c>
      <c r="AJ473" s="252" t="str">
        <f>MID(Tabelle2[[#This Row],[bnr full]],11,3)</f>
        <v>201</v>
      </c>
      <c r="AK473" s="197" t="s">
        <v>1666</v>
      </c>
      <c r="AL473" s="124" t="str">
        <f ca="1">Sprache!$A$111</f>
        <v>Комплект (Л + П)</v>
      </c>
      <c r="AM473" s="187" t="s">
        <v>25</v>
      </c>
      <c r="AN473" s="187" t="str">
        <f ca="1">Sprache!$A$128</f>
        <v>Пружина, оранжевая</v>
      </c>
      <c r="AO473" s="187" t="s">
        <v>25</v>
      </c>
      <c r="AP473" s="187" t="s">
        <v>25</v>
      </c>
      <c r="AQ473" s="187">
        <f>Limits!$K$9</f>
        <v>200</v>
      </c>
      <c r="AR473" s="124">
        <v>1200</v>
      </c>
      <c r="AS473" s="187"/>
      <c r="AT473" s="124"/>
      <c r="AV473"/>
      <c r="AX473" s="10"/>
      <c r="AY473" s="11"/>
      <c r="AZ473" s="2"/>
      <c r="BC473"/>
    </row>
    <row r="474" spans="1:55" hidden="1" x14ac:dyDescent="0.25">
      <c r="A474" s="12" t="str">
        <f ca="1">IF(F474+G474+H474+I474+J474+D474+E474=3,IF(Tabelle2[[#This Row],[Kappe Weiß]]=Limits!$R$29,1,""),"")</f>
        <v/>
      </c>
      <c r="B474" s="12" t="str">
        <f ca="1">IF(G474+H474+I474+J474+E474+F474=2,IF(Tabelle2[[#This Row],[Kappe Weiß]]=Limits!$R$29,1,""),"")</f>
        <v/>
      </c>
      <c r="C474" s="292">
        <v>1</v>
      </c>
      <c r="D474" s="171">
        <f>IF(Limits!$P$7=TRUE,1,0)</f>
        <v>0</v>
      </c>
      <c r="E474" s="172">
        <f>IF(Daten!$P474+Daten!$Q474+Daten!$S474=3,1,0)</f>
        <v>0</v>
      </c>
      <c r="F474" s="173">
        <f ca="1">IF(AND(Limits!$Q$21=TRUE,Daten!O474=1)=TRUE,1,0)</f>
        <v>1</v>
      </c>
      <c r="G474" s="174">
        <f ca="1">IF(AND(Limits!$Q$25=TRUE,Daten!N474=1)=TRUE,1,0)</f>
        <v>0</v>
      </c>
      <c r="H474" s="174">
        <f ca="1">IF(AND(Limits!$Q$24=TRUE,Daten!M474=1)=TRUE,1,0)</f>
        <v>0</v>
      </c>
      <c r="I474" s="174">
        <f ca="1">IF(AND(Limits!$Q$23=TRUE,Daten!L474=1)=TRUE,1,0)</f>
        <v>0</v>
      </c>
      <c r="J474" s="174">
        <f ca="1">IF(AND(Limits!$Q$22=TRUE,Daten!K474=1)=TRUE,1,0)</f>
        <v>0</v>
      </c>
      <c r="K474" s="188">
        <f ca="1">IF(Daten!$V474=13,1,0)</f>
        <v>0</v>
      </c>
      <c r="L474" s="189">
        <f ca="1">IF(Daten!$V474&lt;&gt;Daten!$W474,1,IF(Daten!$V474=14,1,0))</f>
        <v>0</v>
      </c>
      <c r="M474" s="189">
        <f ca="1">IF(Daten!$V474&lt;&gt;Daten!$W474,1,IF(Daten!$V474=16,1,0))</f>
        <v>0</v>
      </c>
      <c r="N474" s="189">
        <f ca="1">IF(Daten!$W474=17,1,0)</f>
        <v>0</v>
      </c>
      <c r="O474" s="190">
        <f ca="1">IF(Daten!$X474=Sprache!$A$70,1,0)</f>
        <v>1</v>
      </c>
      <c r="P474" s="198">
        <f>IF(AND(Daten!$AQ474&lt;=KINVARO!$AW$3,Daten!$AR474&gt;=KINVARO!$AW$3)=TRUE,1,0)</f>
        <v>1</v>
      </c>
      <c r="Q474" s="199">
        <f>IF(AND(Daten!$AA474&lt;=KINVARO!$AW$4,Daten!$AB474&gt;=KINVARO!$AW$4)=TRUE,1,0)</f>
        <v>0</v>
      </c>
      <c r="R474" s="199"/>
      <c r="S474" s="199">
        <f>IF(AND(Daten!$AD474&lt;=Limits!$I$70,Daten!$AE474&gt;=Limits!$I$70)=TRUE,1,0)</f>
        <v>0</v>
      </c>
      <c r="T474" s="200">
        <f ca="1">IF(Daten!$Y474=Sprache!$A$135,1,0)</f>
        <v>0</v>
      </c>
      <c r="U474" s="201" t="str">
        <f ca="1">Sprache!$A$67</f>
        <v>T-70 Поворотный подъемник</v>
      </c>
      <c r="V474" s="202" t="str">
        <f ca="1">Sprache!$A$74</f>
        <v>var</v>
      </c>
      <c r="W474" s="200" t="str">
        <f ca="1">Sprache!$A$74</f>
        <v>var</v>
      </c>
      <c r="X474" s="203" t="str">
        <f ca="1">Sprache!$A$70</f>
        <v>соединение с древесиной</v>
      </c>
      <c r="Y474" s="187" t="str">
        <f ca="1">Sprache!$A$136</f>
        <v>nein</v>
      </c>
      <c r="Z474" s="203" t="str">
        <f ca="1">Sprache!$A$79</f>
        <v>Створка</v>
      </c>
      <c r="AA474" s="203">
        <v>450</v>
      </c>
      <c r="AB474" s="201">
        <v>499</v>
      </c>
      <c r="AC474" s="203"/>
      <c r="AD474" s="204">
        <v>1.6</v>
      </c>
      <c r="AE474" s="205">
        <v>4.7</v>
      </c>
      <c r="AF474" s="266" t="str">
        <f>MID(Tabelle2[[#This Row],[bnr full]],1,4)</f>
        <v>F151</v>
      </c>
      <c r="AG474" s="267" t="str">
        <f>MID(Tabelle2[[#This Row],[bnr full]],5,3)</f>
        <v>147</v>
      </c>
      <c r="AH474" s="268" t="str">
        <f>MID(Tabelle2[[#This Row],[bnr full]],8,3)</f>
        <v>693</v>
      </c>
      <c r="AI474" s="267" t="str">
        <f>MID(Tabelle2[[#This Row],[bnr full]],11,3)</f>
        <v>201</v>
      </c>
      <c r="AJ474" s="253" t="str">
        <f>MID(Tabelle2[[#This Row],[bnr full]],11,3)</f>
        <v>201</v>
      </c>
      <c r="AK474" s="206" t="s">
        <v>1662</v>
      </c>
      <c r="AL474" s="201" t="str">
        <f ca="1">Sprache!$A$111</f>
        <v>Комплект (Л + П)</v>
      </c>
      <c r="AM474" s="203" t="s">
        <v>25</v>
      </c>
      <c r="AN474" s="203" t="str">
        <f ca="1">Sprache!$A$127</f>
        <v>Пружина, белая</v>
      </c>
      <c r="AO474" s="187" t="s">
        <v>25</v>
      </c>
      <c r="AP474" s="187" t="s">
        <v>25</v>
      </c>
      <c r="AQ474" s="203">
        <f>Limits!$K$9</f>
        <v>200</v>
      </c>
      <c r="AR474" s="201">
        <v>1200</v>
      </c>
      <c r="AS474" s="187"/>
      <c r="AT474" s="124"/>
      <c r="AV474"/>
      <c r="AX474" s="10"/>
      <c r="AY474" s="11"/>
      <c r="AZ474" s="2"/>
      <c r="BC474"/>
    </row>
    <row r="475" spans="1:55" hidden="1" x14ac:dyDescent="0.25">
      <c r="A475" s="12" t="str">
        <f ca="1">IF(F475+G475+H475+I475+J475+D475+E475=3,IF(Tabelle2[[#This Row],[Kappe Weiß]]=Limits!$R$29,1,""),"")</f>
        <v/>
      </c>
      <c r="B475" s="12" t="str">
        <f ca="1">IF(G475+H475+I475+J475+E475+F475=2,IF(Tabelle2[[#This Row],[Kappe Weiß]]=Limits!$R$29,1,""),"")</f>
        <v/>
      </c>
      <c r="C475" s="291">
        <v>1</v>
      </c>
      <c r="D475" s="171">
        <f>IF(Limits!$P$7=TRUE,1,0)</f>
        <v>0</v>
      </c>
      <c r="E475" s="172">
        <f>IF(Daten!$P475+Daten!$Q475+Daten!$S475=3,1,0)</f>
        <v>0</v>
      </c>
      <c r="F475" s="173">
        <f ca="1">IF(AND(Limits!$Q$21=TRUE,Daten!O475=1)=TRUE,1,0)</f>
        <v>1</v>
      </c>
      <c r="G475" s="174">
        <f ca="1">IF(AND(Limits!$Q$25=TRUE,Daten!N475=1)=TRUE,1,0)</f>
        <v>0</v>
      </c>
      <c r="H475" s="174">
        <f ca="1">IF(AND(Limits!$Q$24=TRUE,Daten!M475=1)=TRUE,1,0)</f>
        <v>0</v>
      </c>
      <c r="I475" s="174">
        <f ca="1">IF(AND(Limits!$Q$23=TRUE,Daten!L475=1)=TRUE,1,0)</f>
        <v>0</v>
      </c>
      <c r="J475" s="174">
        <f ca="1">IF(AND(Limits!$Q$22=TRUE,Daten!K475=1)=TRUE,1,0)</f>
        <v>0</v>
      </c>
      <c r="K475" s="188">
        <f ca="1">IF(Daten!$V475=13,1,0)</f>
        <v>0</v>
      </c>
      <c r="L475" s="189">
        <f ca="1">IF(Daten!$V475&lt;&gt;Daten!$W475,1,IF(Daten!$V475=14,1,0))</f>
        <v>0</v>
      </c>
      <c r="M475" s="189">
        <f ca="1">IF(Daten!$V475&lt;&gt;Daten!$W475,1,IF(Daten!$V475=16,1,0))</f>
        <v>0</v>
      </c>
      <c r="N475" s="189">
        <f ca="1">IF(Daten!$W475=17,1,0)</f>
        <v>0</v>
      </c>
      <c r="O475" s="190">
        <f ca="1">IF(Daten!$X475=Sprache!$A$70,1,0)</f>
        <v>1</v>
      </c>
      <c r="P475" s="191">
        <f>IF(AND(Daten!$AQ475&lt;=KINVARO!$AW$3,Daten!$AR475&gt;=KINVARO!$AW$3)=TRUE,1,0)</f>
        <v>1</v>
      </c>
      <c r="Q475" s="192">
        <f>IF(AND(Daten!$AA475&lt;=KINVARO!$AW$4,Daten!$AB475&gt;=KINVARO!$AW$4)=TRUE,1,0)</f>
        <v>0</v>
      </c>
      <c r="R475" s="192"/>
      <c r="S475" s="192">
        <f>IF(AND(Daten!$AD475&lt;=Limits!$I$70,Daten!$AE475&gt;=Limits!$I$70)=TRUE,1,0)</f>
        <v>0</v>
      </c>
      <c r="T475" s="193">
        <f ca="1">IF(Daten!$Y475=Sprache!$A$135,1,0)</f>
        <v>0</v>
      </c>
      <c r="U475" s="124" t="str">
        <f ca="1">Sprache!$A$67</f>
        <v>T-70 Поворотный подъемник</v>
      </c>
      <c r="V475" s="194" t="str">
        <f ca="1">Sprache!$A$74</f>
        <v>var</v>
      </c>
      <c r="W475" s="193" t="str">
        <f ca="1">Sprache!$A$74</f>
        <v>var</v>
      </c>
      <c r="X475" s="187" t="str">
        <f ca="1">Sprache!$A$70</f>
        <v>соединение с древесиной</v>
      </c>
      <c r="Y475" s="187" t="str">
        <f ca="1">Sprache!$A$136</f>
        <v>nein</v>
      </c>
      <c r="Z475" s="187" t="str">
        <f ca="1">Sprache!$A$79</f>
        <v>Створка</v>
      </c>
      <c r="AA475" s="187">
        <v>450</v>
      </c>
      <c r="AB475" s="124">
        <v>499</v>
      </c>
      <c r="AC475" s="187"/>
      <c r="AD475" s="195">
        <v>2</v>
      </c>
      <c r="AE475" s="196">
        <v>5.8</v>
      </c>
      <c r="AF475" s="263" t="str">
        <f>MID(Tabelle2[[#This Row],[bnr full]],1,4)</f>
        <v>F151</v>
      </c>
      <c r="AG475" s="264" t="str">
        <f>MID(Tabelle2[[#This Row],[bnr full]],5,3)</f>
        <v>147</v>
      </c>
      <c r="AH475" s="265" t="str">
        <f>MID(Tabelle2[[#This Row],[bnr full]],8,3)</f>
        <v>693</v>
      </c>
      <c r="AI475" s="264" t="str">
        <f>MID(Tabelle2[[#This Row],[bnr full]],11,3)</f>
        <v>201</v>
      </c>
      <c r="AJ475" s="252" t="str">
        <f>MID(Tabelle2[[#This Row],[bnr full]],11,3)</f>
        <v>201</v>
      </c>
      <c r="AK475" s="197" t="s">
        <v>1662</v>
      </c>
      <c r="AL475" s="124" t="str">
        <f ca="1">Sprache!$A$111</f>
        <v>Комплект (Л + П)</v>
      </c>
      <c r="AM475" s="187" t="s">
        <v>25</v>
      </c>
      <c r="AN475" s="187" t="str">
        <f ca="1">Sprache!$A$128</f>
        <v>Пружина, оранжевая</v>
      </c>
      <c r="AO475" s="187" t="s">
        <v>25</v>
      </c>
      <c r="AP475" s="187" t="s">
        <v>25</v>
      </c>
      <c r="AQ475" s="187">
        <f>Limits!$K$9</f>
        <v>200</v>
      </c>
      <c r="AR475" s="124">
        <v>1200</v>
      </c>
      <c r="AS475" s="187"/>
      <c r="AT475" s="124"/>
      <c r="AV475"/>
      <c r="AX475" s="10"/>
      <c r="AY475" s="11"/>
      <c r="AZ475" s="2"/>
      <c r="BC475"/>
    </row>
    <row r="476" spans="1:55" hidden="1" x14ac:dyDescent="0.25">
      <c r="A476" s="12" t="str">
        <f ca="1">IF(F476+G476+H476+I476+J476+D476+E476=3,IF(Tabelle2[[#This Row],[Kappe Weiß]]=Limits!$R$29,1,""),"")</f>
        <v/>
      </c>
      <c r="B476" s="12" t="str">
        <f ca="1">IF(G476+H476+I476+J476+E476+F476=2,IF(Tabelle2[[#This Row],[Kappe Weiß]]=Limits!$R$29,1,""),"")</f>
        <v/>
      </c>
      <c r="C476" s="291">
        <v>1</v>
      </c>
      <c r="D476" s="171">
        <f>IF(Limits!$P$7=TRUE,1,0)</f>
        <v>0</v>
      </c>
      <c r="E476" s="172">
        <f>IF(Daten!$P476+Daten!$Q476+Daten!$S476=3,1,0)</f>
        <v>0</v>
      </c>
      <c r="F476" s="173">
        <f ca="1">IF(AND(Limits!$Q$21=TRUE,Daten!O476=1)=TRUE,1,0)</f>
        <v>0</v>
      </c>
      <c r="G476" s="174">
        <f>IF(AND(Limits!$Q$25=TRUE,Daten!N476=1)=TRUE,1,0)</f>
        <v>0</v>
      </c>
      <c r="H476" s="174">
        <f>IF(AND(Limits!$Q$24=TRUE,Daten!M476=1)=TRUE,1,0)</f>
        <v>0</v>
      </c>
      <c r="I476" s="174">
        <f>IF(AND(Limits!$Q$23=TRUE,Daten!L476=1)=TRUE,1,0)</f>
        <v>0</v>
      </c>
      <c r="J476" s="174">
        <f>IF(AND(Limits!$Q$22=TRUE,Daten!K476=1)=TRUE,1,0)</f>
        <v>0</v>
      </c>
      <c r="K476" s="188">
        <f>IF(Daten!$V476=13,1,0)</f>
        <v>1</v>
      </c>
      <c r="L476" s="189">
        <f>IF(Daten!$V476&lt;&gt;Daten!$W476,1,IF(Daten!$V476=14,1,0))</f>
        <v>0</v>
      </c>
      <c r="M476" s="189">
        <f>IF(Daten!$V476&lt;&gt;Daten!$W476,1,IF(Daten!$V476=16,1,0))</f>
        <v>0</v>
      </c>
      <c r="N476" s="189">
        <f>IF(Daten!$W476=17,1,0)</f>
        <v>0</v>
      </c>
      <c r="O476" s="190">
        <f ca="1">IF(Daten!$X476=Sprache!$A$70,1,0)</f>
        <v>0</v>
      </c>
      <c r="P476" s="191">
        <f>IF(AND(Daten!$AQ476&lt;=KINVARO!$AW$3,Daten!$AR476&gt;=KINVARO!$AW$3)=TRUE,1,0)</f>
        <v>1</v>
      </c>
      <c r="Q476" s="192">
        <f>IF(AND(Daten!$AA476&lt;=KINVARO!$AW$4,Daten!$AB476&gt;=KINVARO!$AW$4)=TRUE,1,0)</f>
        <v>0</v>
      </c>
      <c r="R476" s="192"/>
      <c r="S476" s="192">
        <f>IF(AND(Daten!$AD476&lt;=Limits!$I$70,Daten!$AE476&gt;=Limits!$I$70)=TRUE,1,0)</f>
        <v>0</v>
      </c>
      <c r="T476" s="193">
        <f ca="1">IF(Daten!$Y476=Sprache!$A$135,1,0)</f>
        <v>0</v>
      </c>
      <c r="U476" s="124" t="str">
        <f ca="1">Sprache!$A$67</f>
        <v>T-70 Поворотный подъемник</v>
      </c>
      <c r="V476" s="194">
        <v>13</v>
      </c>
      <c r="W476" s="193">
        <v>13</v>
      </c>
      <c r="X476" s="187" t="str">
        <f ca="1">Sprache!$A$141</f>
        <v>Alu</v>
      </c>
      <c r="Y476" s="187" t="str">
        <f ca="1">Sprache!$A$136</f>
        <v>nein</v>
      </c>
      <c r="Z476" s="187" t="str">
        <f ca="1">Sprache!$A$79</f>
        <v>Створка</v>
      </c>
      <c r="AA476" s="187">
        <v>450</v>
      </c>
      <c r="AB476" s="124">
        <v>499</v>
      </c>
      <c r="AC476" s="187"/>
      <c r="AD476" s="195">
        <v>1.6</v>
      </c>
      <c r="AE476" s="196">
        <v>4.7</v>
      </c>
      <c r="AF476" s="263" t="str">
        <f>MID(Tabelle2[[#This Row],[bnr full]],1,4)</f>
        <v>F151</v>
      </c>
      <c r="AG476" s="264" t="str">
        <f>MID(Tabelle2[[#This Row],[bnr full]],5,3)</f>
        <v>147</v>
      </c>
      <c r="AH476" s="265" t="str">
        <f>MID(Tabelle2[[#This Row],[bnr full]],8,3)</f>
        <v>807</v>
      </c>
      <c r="AI476" s="264" t="str">
        <f>MID(Tabelle2[[#This Row],[bnr full]],11,3)</f>
        <v>201</v>
      </c>
      <c r="AJ476" s="252" t="str">
        <f>MID(Tabelle2[[#This Row],[bnr full]],11,3)</f>
        <v>201</v>
      </c>
      <c r="AK476" s="197" t="s">
        <v>1663</v>
      </c>
      <c r="AL476" s="124" t="str">
        <f ca="1">Sprache!$A$111</f>
        <v>Комплект (Л + П)</v>
      </c>
      <c r="AM476" s="187" t="s">
        <v>25</v>
      </c>
      <c r="AN476" s="187" t="str">
        <f ca="1">Sprache!$A$127</f>
        <v>Пружина, белая</v>
      </c>
      <c r="AO476" s="187" t="s">
        <v>25</v>
      </c>
      <c r="AP476" s="187" t="s">
        <v>25</v>
      </c>
      <c r="AQ476" s="187">
        <f>Limits!$K$9</f>
        <v>200</v>
      </c>
      <c r="AR476" s="124">
        <v>1200</v>
      </c>
      <c r="AS476" s="187"/>
      <c r="AT476" s="124"/>
      <c r="AV476"/>
      <c r="AX476" s="10"/>
      <c r="AY476" s="11"/>
      <c r="AZ476" s="2"/>
      <c r="BC476"/>
    </row>
    <row r="477" spans="1:55" hidden="1" x14ac:dyDescent="0.25">
      <c r="A477" s="12" t="str">
        <f ca="1">IF(F477+G477+H477+I477+J477+D477+E477=3,IF(Tabelle2[[#This Row],[Kappe Weiß]]=Limits!$R$29,1,""),"")</f>
        <v/>
      </c>
      <c r="B477" s="12" t="str">
        <f ca="1">IF(G477+H477+I477+J477+E477+F477=2,IF(Tabelle2[[#This Row],[Kappe Weiß]]=Limits!$R$29,1,""),"")</f>
        <v/>
      </c>
      <c r="C477" s="291">
        <v>1</v>
      </c>
      <c r="D477" s="171">
        <f>IF(Limits!$P$7=TRUE,1,0)</f>
        <v>0</v>
      </c>
      <c r="E477" s="172">
        <f>IF(Daten!$P477+Daten!$Q477+Daten!$S477=3,1,0)</f>
        <v>0</v>
      </c>
      <c r="F477" s="173">
        <f ca="1">IF(AND(Limits!$Q$21=TRUE,Daten!O477=1)=TRUE,1,0)</f>
        <v>0</v>
      </c>
      <c r="G477" s="174">
        <f>IF(AND(Limits!$Q$25=TRUE,Daten!N477=1)=TRUE,1,0)</f>
        <v>0</v>
      </c>
      <c r="H477" s="174">
        <f>IF(AND(Limits!$Q$24=TRUE,Daten!M477=1)=TRUE,1,0)</f>
        <v>0</v>
      </c>
      <c r="I477" s="174">
        <f>IF(AND(Limits!$Q$23=TRUE,Daten!L477=1)=TRUE,1,0)</f>
        <v>0</v>
      </c>
      <c r="J477" s="174">
        <f>IF(AND(Limits!$Q$22=TRUE,Daten!K477=1)=TRUE,1,0)</f>
        <v>0</v>
      </c>
      <c r="K477" s="188">
        <f>IF(Daten!$V477=13,1,0)</f>
        <v>1</v>
      </c>
      <c r="L477" s="189">
        <f>IF(Daten!$V477&lt;&gt;Daten!$W477,1,IF(Daten!$V477=14,1,0))</f>
        <v>0</v>
      </c>
      <c r="M477" s="189">
        <f>IF(Daten!$V477&lt;&gt;Daten!$W477,1,IF(Daten!$V477=16,1,0))</f>
        <v>0</v>
      </c>
      <c r="N477" s="189">
        <f>IF(Daten!$W477=17,1,0)</f>
        <v>0</v>
      </c>
      <c r="O477" s="190">
        <f ca="1">IF(Daten!$X477=Sprache!$A$70,1,0)</f>
        <v>0</v>
      </c>
      <c r="P477" s="191">
        <f>IF(AND(Daten!$AQ477&lt;=KINVARO!$AW$3,Daten!$AR477&gt;=KINVARO!$AW$3)=TRUE,1,0)</f>
        <v>1</v>
      </c>
      <c r="Q477" s="192">
        <f>IF(AND(Daten!$AA477&lt;=KINVARO!$AW$4,Daten!$AB477&gt;=KINVARO!$AW$4)=TRUE,1,0)</f>
        <v>0</v>
      </c>
      <c r="R477" s="192"/>
      <c r="S477" s="192">
        <f>IF(AND(Daten!$AD477&lt;=Limits!$I$70,Daten!$AE477&gt;=Limits!$I$70)=TRUE,1,0)</f>
        <v>0</v>
      </c>
      <c r="T477" s="193">
        <f ca="1">IF(Daten!$Y477=Sprache!$A$135,1,0)</f>
        <v>0</v>
      </c>
      <c r="U477" s="124" t="str">
        <f ca="1">Sprache!$A$67</f>
        <v>T-70 Поворотный подъемник</v>
      </c>
      <c r="V477" s="194">
        <v>13</v>
      </c>
      <c r="W477" s="193">
        <v>13</v>
      </c>
      <c r="X477" s="187" t="str">
        <f ca="1">Sprache!$A$141</f>
        <v>Alu</v>
      </c>
      <c r="Y477" s="187" t="str">
        <f ca="1">Sprache!$A$136</f>
        <v>nein</v>
      </c>
      <c r="Z477" s="187" t="str">
        <f ca="1">Sprache!$A$79</f>
        <v>Створка</v>
      </c>
      <c r="AA477" s="187">
        <v>450</v>
      </c>
      <c r="AB477" s="124">
        <v>499</v>
      </c>
      <c r="AC477" s="187"/>
      <c r="AD477" s="195">
        <v>2</v>
      </c>
      <c r="AE477" s="196">
        <v>5.8</v>
      </c>
      <c r="AF477" s="263" t="str">
        <f>MID(Tabelle2[[#This Row],[bnr full]],1,4)</f>
        <v>F151</v>
      </c>
      <c r="AG477" s="264" t="str">
        <f>MID(Tabelle2[[#This Row],[bnr full]],5,3)</f>
        <v>147</v>
      </c>
      <c r="AH477" s="265" t="str">
        <f>MID(Tabelle2[[#This Row],[bnr full]],8,3)</f>
        <v>807</v>
      </c>
      <c r="AI477" s="264" t="str">
        <f>MID(Tabelle2[[#This Row],[bnr full]],11,3)</f>
        <v>201</v>
      </c>
      <c r="AJ477" s="252" t="str">
        <f>MID(Tabelle2[[#This Row],[bnr full]],11,3)</f>
        <v>201</v>
      </c>
      <c r="AK477" s="197" t="s">
        <v>1663</v>
      </c>
      <c r="AL477" s="124" t="str">
        <f ca="1">Sprache!$A$111</f>
        <v>Комплект (Л + П)</v>
      </c>
      <c r="AM477" s="187" t="s">
        <v>25</v>
      </c>
      <c r="AN477" s="187" t="str">
        <f ca="1">Sprache!$A$128</f>
        <v>Пружина, оранжевая</v>
      </c>
      <c r="AO477" s="187" t="s">
        <v>25</v>
      </c>
      <c r="AP477" s="187" t="s">
        <v>25</v>
      </c>
      <c r="AQ477" s="187">
        <f>Limits!$K$9</f>
        <v>200</v>
      </c>
      <c r="AR477" s="124">
        <v>1200</v>
      </c>
      <c r="AS477" s="187"/>
      <c r="AT477" s="124"/>
      <c r="AV477"/>
      <c r="AX477" s="10"/>
      <c r="AY477" s="11"/>
      <c r="AZ477" s="2"/>
      <c r="BC477"/>
    </row>
    <row r="478" spans="1:55" hidden="1" x14ac:dyDescent="0.25">
      <c r="A478" s="12" t="str">
        <f ca="1">IF(F478+G478+H478+I478+J478+D478+E478=3,IF(Tabelle2[[#This Row],[Kappe Weiß]]=Limits!$R$29,1,""),"")</f>
        <v/>
      </c>
      <c r="B478" s="12" t="str">
        <f ca="1">IF(G478+H478+I478+J478+E478+F478=2,IF(Tabelle2[[#This Row],[Kappe Weiß]]=Limits!$R$29,1,""),"")</f>
        <v/>
      </c>
      <c r="C478" s="291">
        <v>1</v>
      </c>
      <c r="D478" s="171">
        <f>IF(Limits!$P$7=TRUE,1,0)</f>
        <v>0</v>
      </c>
      <c r="E478" s="172">
        <f>IF(Daten!$P478+Daten!$Q478+Daten!$S478=3,1,0)</f>
        <v>0</v>
      </c>
      <c r="F478" s="173">
        <f ca="1">IF(AND(Limits!$Q$21=TRUE,Daten!O478=1)=TRUE,1,0)</f>
        <v>0</v>
      </c>
      <c r="G478" s="174">
        <f>IF(AND(Limits!$Q$25=TRUE,Daten!N478=1)=TRUE,1,0)</f>
        <v>0</v>
      </c>
      <c r="H478" s="174">
        <f>IF(AND(Limits!$Q$24=TRUE,Daten!M478=1)=TRUE,1,0)</f>
        <v>0</v>
      </c>
      <c r="I478" s="174">
        <f>IF(AND(Limits!$Q$23=TRUE,Daten!L478=1)=TRUE,1,0)</f>
        <v>0</v>
      </c>
      <c r="J478" s="174">
        <f>IF(AND(Limits!$Q$22=TRUE,Daten!K478=1)=TRUE,1,0)</f>
        <v>0</v>
      </c>
      <c r="K478" s="188">
        <f>IF(Daten!$V478=13,1,0)</f>
        <v>0</v>
      </c>
      <c r="L478" s="189">
        <f>IF(Daten!$V478&lt;&gt;Daten!$W478,1,IF(Daten!$V478=14,1,0))</f>
        <v>1</v>
      </c>
      <c r="M478" s="189">
        <f>IF(Daten!$V478&lt;&gt;Daten!$W478,1,IF(Daten!$V478=16,1,0))</f>
        <v>0</v>
      </c>
      <c r="N478" s="189">
        <f>IF(Daten!$W478=17,1,0)</f>
        <v>0</v>
      </c>
      <c r="O478" s="190">
        <f ca="1">IF(Daten!$X478=Sprache!$A$70,1,0)</f>
        <v>0</v>
      </c>
      <c r="P478" s="191">
        <f>IF(AND(Daten!$AQ478&lt;=KINVARO!$AW$3,Daten!$AR478&gt;=KINVARO!$AW$3)=TRUE,1,0)</f>
        <v>1</v>
      </c>
      <c r="Q478" s="192">
        <f>IF(AND(Daten!$AA478&lt;=KINVARO!$AW$4,Daten!$AB478&gt;=KINVARO!$AW$4)=TRUE,1,0)</f>
        <v>0</v>
      </c>
      <c r="R478" s="192"/>
      <c r="S478" s="192">
        <f>IF(AND(Daten!$AD478&lt;=Limits!$I$70,Daten!$AE478&gt;=Limits!$I$70)=TRUE,1,0)</f>
        <v>0</v>
      </c>
      <c r="T478" s="193">
        <f ca="1">IF(Daten!$Y478=Sprache!$A$135,1,0)</f>
        <v>0</v>
      </c>
      <c r="U478" s="124" t="str">
        <f ca="1">Sprache!$A$67</f>
        <v>T-70 Поворотный подъемник</v>
      </c>
      <c r="V478" s="194">
        <v>14</v>
      </c>
      <c r="W478" s="193">
        <v>14</v>
      </c>
      <c r="X478" s="187" t="str">
        <f ca="1">Sprache!$A$141</f>
        <v>Alu</v>
      </c>
      <c r="Y478" s="187" t="str">
        <f ca="1">Sprache!$A$136</f>
        <v>nein</v>
      </c>
      <c r="Z478" s="187" t="str">
        <f ca="1">Sprache!$A$79</f>
        <v>Створка</v>
      </c>
      <c r="AA478" s="187">
        <v>450</v>
      </c>
      <c r="AB478" s="124">
        <v>499</v>
      </c>
      <c r="AC478" s="187"/>
      <c r="AD478" s="195">
        <v>1.6</v>
      </c>
      <c r="AE478" s="196">
        <v>4.7</v>
      </c>
      <c r="AF478" s="263" t="str">
        <f>MID(Tabelle2[[#This Row],[bnr full]],1,4)</f>
        <v>F151</v>
      </c>
      <c r="AG478" s="264" t="str">
        <f>MID(Tabelle2[[#This Row],[bnr full]],5,3)</f>
        <v>147</v>
      </c>
      <c r="AH478" s="265" t="str">
        <f>MID(Tabelle2[[#This Row],[bnr full]],8,3)</f>
        <v>808</v>
      </c>
      <c r="AI478" s="264" t="str">
        <f>MID(Tabelle2[[#This Row],[bnr full]],11,3)</f>
        <v>201</v>
      </c>
      <c r="AJ478" s="252" t="str">
        <f>MID(Tabelle2[[#This Row],[bnr full]],11,3)</f>
        <v>201</v>
      </c>
      <c r="AK478" s="197" t="s">
        <v>1664</v>
      </c>
      <c r="AL478" s="124" t="str">
        <f ca="1">Sprache!$A$111</f>
        <v>Комплект (Л + П)</v>
      </c>
      <c r="AM478" s="187" t="s">
        <v>25</v>
      </c>
      <c r="AN478" s="187" t="str">
        <f ca="1">Sprache!$A$127</f>
        <v>Пружина, белая</v>
      </c>
      <c r="AO478" s="187" t="s">
        <v>25</v>
      </c>
      <c r="AP478" s="187" t="s">
        <v>25</v>
      </c>
      <c r="AQ478" s="187">
        <f>Limits!$K$9</f>
        <v>200</v>
      </c>
      <c r="AR478" s="124">
        <v>1200</v>
      </c>
      <c r="AS478" s="187"/>
      <c r="AT478" s="124"/>
      <c r="AV478"/>
      <c r="AX478" s="10"/>
      <c r="AY478" s="11"/>
      <c r="AZ478" s="2"/>
      <c r="BC478"/>
    </row>
    <row r="479" spans="1:55" hidden="1" x14ac:dyDescent="0.25">
      <c r="A479" s="12" t="str">
        <f ca="1">IF(F479+G479+H479+I479+J479+D479+E479=3,IF(Tabelle2[[#This Row],[Kappe Weiß]]=Limits!$R$29,1,""),"")</f>
        <v/>
      </c>
      <c r="B479" s="12" t="str">
        <f ca="1">IF(G479+H479+I479+J479+E479+F479=2,IF(Tabelle2[[#This Row],[Kappe Weiß]]=Limits!$R$29,1,""),"")</f>
        <v/>
      </c>
      <c r="C479" s="291">
        <v>1</v>
      </c>
      <c r="D479" s="171">
        <f>IF(Limits!$P$7=TRUE,1,0)</f>
        <v>0</v>
      </c>
      <c r="E479" s="172">
        <f>IF(Daten!$P479+Daten!$Q479+Daten!$S479=3,1,0)</f>
        <v>0</v>
      </c>
      <c r="F479" s="173">
        <f ca="1">IF(AND(Limits!$Q$21=TRUE,Daten!O479=1)=TRUE,1,0)</f>
        <v>0</v>
      </c>
      <c r="G479" s="174">
        <f>IF(AND(Limits!$Q$25=TRUE,Daten!N479=1)=TRUE,1,0)</f>
        <v>0</v>
      </c>
      <c r="H479" s="174">
        <f>IF(AND(Limits!$Q$24=TRUE,Daten!M479=1)=TRUE,1,0)</f>
        <v>0</v>
      </c>
      <c r="I479" s="174">
        <f>IF(AND(Limits!$Q$23=TRUE,Daten!L479=1)=TRUE,1,0)</f>
        <v>0</v>
      </c>
      <c r="J479" s="174">
        <f>IF(AND(Limits!$Q$22=TRUE,Daten!K479=1)=TRUE,1,0)</f>
        <v>0</v>
      </c>
      <c r="K479" s="188">
        <f>IF(Daten!$V479=13,1,0)</f>
        <v>0</v>
      </c>
      <c r="L479" s="189">
        <f>IF(Daten!$V479&lt;&gt;Daten!$W479,1,IF(Daten!$V479=14,1,0))</f>
        <v>1</v>
      </c>
      <c r="M479" s="189">
        <f>IF(Daten!$V479&lt;&gt;Daten!$W479,1,IF(Daten!$V479=16,1,0))</f>
        <v>0</v>
      </c>
      <c r="N479" s="189">
        <f>IF(Daten!$W479=17,1,0)</f>
        <v>0</v>
      </c>
      <c r="O479" s="190">
        <f ca="1">IF(Daten!$X479=Sprache!$A$70,1,0)</f>
        <v>0</v>
      </c>
      <c r="P479" s="191">
        <f>IF(AND(Daten!$AQ479&lt;=KINVARO!$AW$3,Daten!$AR479&gt;=KINVARO!$AW$3)=TRUE,1,0)</f>
        <v>1</v>
      </c>
      <c r="Q479" s="192">
        <f>IF(AND(Daten!$AA479&lt;=KINVARO!$AW$4,Daten!$AB479&gt;=KINVARO!$AW$4)=TRUE,1,0)</f>
        <v>0</v>
      </c>
      <c r="R479" s="192"/>
      <c r="S479" s="192">
        <f>IF(AND(Daten!$AD479&lt;=Limits!$I$70,Daten!$AE479&gt;=Limits!$I$70)=TRUE,1,0)</f>
        <v>0</v>
      </c>
      <c r="T479" s="193">
        <f ca="1">IF(Daten!$Y479=Sprache!$A$135,1,0)</f>
        <v>0</v>
      </c>
      <c r="U479" s="124" t="str">
        <f ca="1">Sprache!$A$67</f>
        <v>T-70 Поворотный подъемник</v>
      </c>
      <c r="V479" s="194">
        <v>14</v>
      </c>
      <c r="W479" s="193">
        <v>14</v>
      </c>
      <c r="X479" s="187" t="str">
        <f ca="1">Sprache!$A$141</f>
        <v>Alu</v>
      </c>
      <c r="Y479" s="187" t="str">
        <f ca="1">Sprache!$A$136</f>
        <v>nein</v>
      </c>
      <c r="Z479" s="187" t="str">
        <f ca="1">Sprache!$A$79</f>
        <v>Створка</v>
      </c>
      <c r="AA479" s="187">
        <v>450</v>
      </c>
      <c r="AB479" s="124">
        <v>499</v>
      </c>
      <c r="AC479" s="187"/>
      <c r="AD479" s="195">
        <v>2</v>
      </c>
      <c r="AE479" s="196">
        <v>5.8</v>
      </c>
      <c r="AF479" s="263" t="str">
        <f>MID(Tabelle2[[#This Row],[bnr full]],1,4)</f>
        <v>F151</v>
      </c>
      <c r="AG479" s="264" t="str">
        <f>MID(Tabelle2[[#This Row],[bnr full]],5,3)</f>
        <v>147</v>
      </c>
      <c r="AH479" s="265" t="str">
        <f>MID(Tabelle2[[#This Row],[bnr full]],8,3)</f>
        <v>808</v>
      </c>
      <c r="AI479" s="264" t="str">
        <f>MID(Tabelle2[[#This Row],[bnr full]],11,3)</f>
        <v>201</v>
      </c>
      <c r="AJ479" s="252" t="str">
        <f>MID(Tabelle2[[#This Row],[bnr full]],11,3)</f>
        <v>201</v>
      </c>
      <c r="AK479" s="197" t="s">
        <v>1664</v>
      </c>
      <c r="AL479" s="124" t="str">
        <f ca="1">Sprache!$A$111</f>
        <v>Комплект (Л + П)</v>
      </c>
      <c r="AM479" s="187" t="s">
        <v>25</v>
      </c>
      <c r="AN479" s="187" t="str">
        <f ca="1">Sprache!$A$128</f>
        <v>Пружина, оранжевая</v>
      </c>
      <c r="AO479" s="187" t="s">
        <v>25</v>
      </c>
      <c r="AP479" s="187" t="s">
        <v>25</v>
      </c>
      <c r="AQ479" s="187">
        <f>Limits!$K$9</f>
        <v>200</v>
      </c>
      <c r="AR479" s="124">
        <v>1200</v>
      </c>
      <c r="AS479" s="187"/>
      <c r="AT479" s="124"/>
      <c r="AV479"/>
      <c r="AX479" s="10"/>
      <c r="AY479" s="11"/>
      <c r="AZ479" s="2"/>
      <c r="BC479"/>
    </row>
    <row r="480" spans="1:55" hidden="1" x14ac:dyDescent="0.25">
      <c r="A480" s="12" t="str">
        <f ca="1">IF(F480+G480+H480+I480+J480+D480+E480=3,IF(Tabelle2[[#This Row],[Kappe Weiß]]=Limits!$R$29,1,""),"")</f>
        <v/>
      </c>
      <c r="B480" s="12" t="str">
        <f ca="1">IF(G480+H480+I480+J480+E480+F480=2,IF(Tabelle2[[#This Row],[Kappe Weiß]]=Limits!$R$29,1,""),"")</f>
        <v/>
      </c>
      <c r="C480" s="291">
        <v>1</v>
      </c>
      <c r="D480" s="171">
        <f>IF(Limits!$P$7=TRUE,1,0)</f>
        <v>0</v>
      </c>
      <c r="E480" s="172">
        <f>IF(Daten!$P480+Daten!$Q480+Daten!$S480=3,1,0)</f>
        <v>0</v>
      </c>
      <c r="F480" s="173">
        <f ca="1">IF(AND(Limits!$Q$21=TRUE,Daten!O480=1)=TRUE,1,0)</f>
        <v>0</v>
      </c>
      <c r="G480" s="174">
        <f>IF(AND(Limits!$Q$25=TRUE,Daten!N480=1)=TRUE,1,0)</f>
        <v>0</v>
      </c>
      <c r="H480" s="174">
        <f>IF(AND(Limits!$Q$24=TRUE,Daten!M480=1)=TRUE,1,0)</f>
        <v>0</v>
      </c>
      <c r="I480" s="174">
        <f>IF(AND(Limits!$Q$23=TRUE,Daten!L480=1)=TRUE,1,0)</f>
        <v>0</v>
      </c>
      <c r="J480" s="174">
        <f>IF(AND(Limits!$Q$22=TRUE,Daten!K480=1)=TRUE,1,0)</f>
        <v>0</v>
      </c>
      <c r="K480" s="188">
        <f>IF(Daten!$V480=13,1,0)</f>
        <v>0</v>
      </c>
      <c r="L480" s="189">
        <f>IF(Daten!$V480&lt;&gt;Daten!$W480,1,IF(Daten!$V480=14,1,0))</f>
        <v>0</v>
      </c>
      <c r="M480" s="189">
        <f>IF(Daten!$V480&lt;&gt;Daten!$W480,1,IF(Daten!$V480=16,1,0))</f>
        <v>1</v>
      </c>
      <c r="N480" s="189">
        <f>IF(Daten!$W480=17,1,0)</f>
        <v>0</v>
      </c>
      <c r="O480" s="190">
        <f ca="1">IF(Daten!$X480=Sprache!$A$70,1,0)</f>
        <v>0</v>
      </c>
      <c r="P480" s="191">
        <f>IF(AND(Daten!$AQ480&lt;=KINVARO!$AW$3,Daten!$AR480&gt;=KINVARO!$AW$3)=TRUE,1,0)</f>
        <v>1</v>
      </c>
      <c r="Q480" s="192">
        <f>IF(AND(Daten!$AA480&lt;=KINVARO!$AW$4,Daten!$AB480&gt;=KINVARO!$AW$4)=TRUE,1,0)</f>
        <v>0</v>
      </c>
      <c r="R480" s="192"/>
      <c r="S480" s="192">
        <f>IF(AND(Daten!$AD480&lt;=Limits!$I$70,Daten!$AE480&gt;=Limits!$I$70)=TRUE,1,0)</f>
        <v>0</v>
      </c>
      <c r="T480" s="193">
        <f ca="1">IF(Daten!$Y480=Sprache!$A$135,1,0)</f>
        <v>0</v>
      </c>
      <c r="U480" s="124" t="str">
        <f ca="1">Sprache!$A$67</f>
        <v>T-70 Поворотный подъемник</v>
      </c>
      <c r="V480" s="194">
        <v>16</v>
      </c>
      <c r="W480" s="193">
        <v>16</v>
      </c>
      <c r="X480" s="187" t="str">
        <f ca="1">Sprache!$A$141</f>
        <v>Alu</v>
      </c>
      <c r="Y480" s="187" t="str">
        <f ca="1">Sprache!$A$136</f>
        <v>nein</v>
      </c>
      <c r="Z480" s="187" t="str">
        <f ca="1">Sprache!$A$79</f>
        <v>Створка</v>
      </c>
      <c r="AA480" s="187">
        <v>450</v>
      </c>
      <c r="AB480" s="124">
        <v>499</v>
      </c>
      <c r="AC480" s="187"/>
      <c r="AD480" s="195">
        <v>1.6</v>
      </c>
      <c r="AE480" s="196">
        <v>4.7</v>
      </c>
      <c r="AF480" s="263" t="str">
        <f>MID(Tabelle2[[#This Row],[bnr full]],1,4)</f>
        <v>F151</v>
      </c>
      <c r="AG480" s="264" t="str">
        <f>MID(Tabelle2[[#This Row],[bnr full]],5,3)</f>
        <v>147</v>
      </c>
      <c r="AH480" s="265" t="str">
        <f>MID(Tabelle2[[#This Row],[bnr full]],8,3)</f>
        <v>809</v>
      </c>
      <c r="AI480" s="264" t="str">
        <f>MID(Tabelle2[[#This Row],[bnr full]],11,3)</f>
        <v>201</v>
      </c>
      <c r="AJ480" s="252" t="str">
        <f>MID(Tabelle2[[#This Row],[bnr full]],11,3)</f>
        <v>201</v>
      </c>
      <c r="AK480" s="197" t="s">
        <v>1665</v>
      </c>
      <c r="AL480" s="124" t="str">
        <f ca="1">Sprache!$A$111</f>
        <v>Комплект (Л + П)</v>
      </c>
      <c r="AM480" s="187" t="s">
        <v>25</v>
      </c>
      <c r="AN480" s="187" t="str">
        <f ca="1">Sprache!$A$127</f>
        <v>Пружина, белая</v>
      </c>
      <c r="AO480" s="187" t="s">
        <v>25</v>
      </c>
      <c r="AP480" s="187" t="s">
        <v>25</v>
      </c>
      <c r="AQ480" s="187">
        <f>Limits!$K$9</f>
        <v>200</v>
      </c>
      <c r="AR480" s="124">
        <v>1200</v>
      </c>
      <c r="AS480" s="187"/>
      <c r="AT480" s="124"/>
      <c r="AV480"/>
      <c r="AX480" s="10"/>
      <c r="AY480" s="11"/>
      <c r="AZ480" s="2"/>
      <c r="BC480"/>
    </row>
    <row r="481" spans="1:55" hidden="1" x14ac:dyDescent="0.25">
      <c r="A481" s="12" t="str">
        <f ca="1">IF(F481+G481+H481+I481+J481+D481+E481=3,IF(Tabelle2[[#This Row],[Kappe Weiß]]=Limits!$R$29,1,""),"")</f>
        <v/>
      </c>
      <c r="B481" s="12" t="str">
        <f ca="1">IF(G481+H481+I481+J481+E481+F481=2,IF(Tabelle2[[#This Row],[Kappe Weiß]]=Limits!$R$29,1,""),"")</f>
        <v/>
      </c>
      <c r="C481" s="291">
        <v>1</v>
      </c>
      <c r="D481" s="171">
        <f>IF(Limits!$P$7=TRUE,1,0)</f>
        <v>0</v>
      </c>
      <c r="E481" s="172">
        <f>IF(Daten!$P481+Daten!$Q481+Daten!$S481=3,1,0)</f>
        <v>0</v>
      </c>
      <c r="F481" s="173">
        <f ca="1">IF(AND(Limits!$Q$21=TRUE,Daten!O481=1)=TRUE,1,0)</f>
        <v>0</v>
      </c>
      <c r="G481" s="174">
        <f>IF(AND(Limits!$Q$25=TRUE,Daten!N481=1)=TRUE,1,0)</f>
        <v>0</v>
      </c>
      <c r="H481" s="174">
        <f>IF(AND(Limits!$Q$24=TRUE,Daten!M481=1)=TRUE,1,0)</f>
        <v>0</v>
      </c>
      <c r="I481" s="174">
        <f>IF(AND(Limits!$Q$23=TRUE,Daten!L481=1)=TRUE,1,0)</f>
        <v>0</v>
      </c>
      <c r="J481" s="174">
        <f>IF(AND(Limits!$Q$22=TRUE,Daten!K481=1)=TRUE,1,0)</f>
        <v>0</v>
      </c>
      <c r="K481" s="188">
        <f>IF(Daten!$V481=13,1,0)</f>
        <v>0</v>
      </c>
      <c r="L481" s="189">
        <f>IF(Daten!$V481&lt;&gt;Daten!$W481,1,IF(Daten!$V481=14,1,0))</f>
        <v>0</v>
      </c>
      <c r="M481" s="189">
        <f>IF(Daten!$V481&lt;&gt;Daten!$W481,1,IF(Daten!$V481=16,1,0))</f>
        <v>1</v>
      </c>
      <c r="N481" s="189">
        <f>IF(Daten!$W481=17,1,0)</f>
        <v>0</v>
      </c>
      <c r="O481" s="190">
        <f ca="1">IF(Daten!$X481=Sprache!$A$70,1,0)</f>
        <v>0</v>
      </c>
      <c r="P481" s="191">
        <f>IF(AND(Daten!$AQ481&lt;=KINVARO!$AW$3,Daten!$AR481&gt;=KINVARO!$AW$3)=TRUE,1,0)</f>
        <v>1</v>
      </c>
      <c r="Q481" s="192">
        <f>IF(AND(Daten!$AA481&lt;=KINVARO!$AW$4,Daten!$AB481&gt;=KINVARO!$AW$4)=TRUE,1,0)</f>
        <v>0</v>
      </c>
      <c r="R481" s="192"/>
      <c r="S481" s="192">
        <f>IF(AND(Daten!$AD481&lt;=Limits!$I$70,Daten!$AE481&gt;=Limits!$I$70)=TRUE,1,0)</f>
        <v>0</v>
      </c>
      <c r="T481" s="193">
        <f ca="1">IF(Daten!$Y481=Sprache!$A$135,1,0)</f>
        <v>0</v>
      </c>
      <c r="U481" s="124" t="str">
        <f ca="1">Sprache!$A$67</f>
        <v>T-70 Поворотный подъемник</v>
      </c>
      <c r="V481" s="194">
        <v>16</v>
      </c>
      <c r="W481" s="193">
        <v>16</v>
      </c>
      <c r="X481" s="187" t="str">
        <f ca="1">Sprache!$A$141</f>
        <v>Alu</v>
      </c>
      <c r="Y481" s="187" t="str">
        <f ca="1">Sprache!$A$136</f>
        <v>nein</v>
      </c>
      <c r="Z481" s="187" t="str">
        <f ca="1">Sprache!$A$79</f>
        <v>Створка</v>
      </c>
      <c r="AA481" s="187">
        <v>450</v>
      </c>
      <c r="AB481" s="124">
        <v>499</v>
      </c>
      <c r="AC481" s="187"/>
      <c r="AD481" s="195">
        <v>2</v>
      </c>
      <c r="AE481" s="196">
        <v>5.8</v>
      </c>
      <c r="AF481" s="263" t="str">
        <f>MID(Tabelle2[[#This Row],[bnr full]],1,4)</f>
        <v>F151</v>
      </c>
      <c r="AG481" s="264" t="str">
        <f>MID(Tabelle2[[#This Row],[bnr full]],5,3)</f>
        <v>147</v>
      </c>
      <c r="AH481" s="265" t="str">
        <f>MID(Tabelle2[[#This Row],[bnr full]],8,3)</f>
        <v>809</v>
      </c>
      <c r="AI481" s="264" t="str">
        <f>MID(Tabelle2[[#This Row],[bnr full]],11,3)</f>
        <v>201</v>
      </c>
      <c r="AJ481" s="252" t="str">
        <f>MID(Tabelle2[[#This Row],[bnr full]],11,3)</f>
        <v>201</v>
      </c>
      <c r="AK481" s="197" t="s">
        <v>1665</v>
      </c>
      <c r="AL481" s="124" t="str">
        <f ca="1">Sprache!$A$111</f>
        <v>Комплект (Л + П)</v>
      </c>
      <c r="AM481" s="187" t="s">
        <v>25</v>
      </c>
      <c r="AN481" s="187" t="str">
        <f ca="1">Sprache!$A$128</f>
        <v>Пружина, оранжевая</v>
      </c>
      <c r="AO481" s="187" t="s">
        <v>25</v>
      </c>
      <c r="AP481" s="187" t="s">
        <v>25</v>
      </c>
      <c r="AQ481" s="187">
        <f>Limits!$K$9</f>
        <v>200</v>
      </c>
      <c r="AR481" s="124">
        <v>1200</v>
      </c>
      <c r="AS481" s="187"/>
      <c r="AT481" s="124"/>
      <c r="AV481"/>
      <c r="AX481" s="10"/>
      <c r="AY481" s="11"/>
      <c r="AZ481" s="2"/>
      <c r="BC481"/>
    </row>
    <row r="482" spans="1:55" hidden="1" x14ac:dyDescent="0.25">
      <c r="A482" s="12" t="str">
        <f ca="1">IF(F482+G482+H482+I482+J482+D482+E482=3,IF(Tabelle2[[#This Row],[Kappe Weiß]]=Limits!$R$29,1,""),"")</f>
        <v/>
      </c>
      <c r="B482" s="12" t="str">
        <f ca="1">IF(G482+H482+I482+J482+E482+F482=2,IF(Tabelle2[[#This Row],[Kappe Weiß]]=Limits!$R$29,1,""),"")</f>
        <v/>
      </c>
      <c r="C482" s="291">
        <v>1</v>
      </c>
      <c r="D482" s="171">
        <f>IF(Limits!$P$7=TRUE,1,0)</f>
        <v>0</v>
      </c>
      <c r="E482" s="172">
        <f>IF(Daten!$P482+Daten!$Q482+Daten!$S482=3,1,0)</f>
        <v>0</v>
      </c>
      <c r="F482" s="173">
        <f ca="1">IF(AND(Limits!$Q$21=TRUE,Daten!O482=1)=TRUE,1,0)</f>
        <v>0</v>
      </c>
      <c r="G482" s="174">
        <f>IF(AND(Limits!$Q$25=TRUE,Daten!N482=1)=TRUE,1,0)</f>
        <v>0</v>
      </c>
      <c r="H482" s="174">
        <f>IF(AND(Limits!$Q$24=TRUE,Daten!M482=1)=TRUE,1,0)</f>
        <v>0</v>
      </c>
      <c r="I482" s="174">
        <f>IF(AND(Limits!$Q$23=TRUE,Daten!L482=1)=TRUE,1,0)</f>
        <v>0</v>
      </c>
      <c r="J482" s="174">
        <f>IF(AND(Limits!$Q$22=TRUE,Daten!K482=1)=TRUE,1,0)</f>
        <v>0</v>
      </c>
      <c r="K482" s="188">
        <f>IF(Daten!$V482=13,1,0)</f>
        <v>0</v>
      </c>
      <c r="L482" s="189">
        <f>IF(Daten!$V482&lt;&gt;Daten!$W482,1,IF(Daten!$V482=14,1,0))</f>
        <v>0</v>
      </c>
      <c r="M482" s="189">
        <f>IF(Daten!$V482&lt;&gt;Daten!$W482,1,IF(Daten!$V482=16,1,0))</f>
        <v>0</v>
      </c>
      <c r="N482" s="189">
        <f>IF(Daten!$W482=17,1,0)</f>
        <v>1</v>
      </c>
      <c r="O482" s="190">
        <f ca="1">IF(Daten!$X482=Sprache!$A$70,1,0)</f>
        <v>0</v>
      </c>
      <c r="P482" s="191">
        <f>IF(AND(Daten!$AQ482&lt;=KINVARO!$AW$3,Daten!$AR482&gt;=KINVARO!$AW$3)=TRUE,1,0)</f>
        <v>1</v>
      </c>
      <c r="Q482" s="192">
        <f>IF(AND(Daten!$AA482&lt;=KINVARO!$AW$4,Daten!$AB482&gt;=KINVARO!$AW$4)=TRUE,1,0)</f>
        <v>0</v>
      </c>
      <c r="R482" s="192"/>
      <c r="S482" s="192">
        <f>IF(AND(Daten!$AD482&lt;=Limits!$I$70,Daten!$AE482&gt;=Limits!$I$70)=TRUE,1,0)</f>
        <v>0</v>
      </c>
      <c r="T482" s="193">
        <f ca="1">IF(Daten!$Y482=Sprache!$A$135,1,0)</f>
        <v>0</v>
      </c>
      <c r="U482" s="124" t="str">
        <f ca="1">Sprache!$A$67</f>
        <v>T-70 Поворотный подъемник</v>
      </c>
      <c r="V482" s="194">
        <v>17</v>
      </c>
      <c r="W482" s="193">
        <v>17</v>
      </c>
      <c r="X482" s="187" t="str">
        <f ca="1">Sprache!$A$141</f>
        <v>Alu</v>
      </c>
      <c r="Y482" s="187" t="str">
        <f ca="1">Sprache!$A$136</f>
        <v>nein</v>
      </c>
      <c r="Z482" s="187" t="str">
        <f ca="1">Sprache!$A$79</f>
        <v>Створка</v>
      </c>
      <c r="AA482" s="187">
        <v>450</v>
      </c>
      <c r="AB482" s="124">
        <v>499</v>
      </c>
      <c r="AC482" s="187"/>
      <c r="AD482" s="195">
        <v>1.6</v>
      </c>
      <c r="AE482" s="196">
        <v>4.7</v>
      </c>
      <c r="AF482" s="263" t="str">
        <f>MID(Tabelle2[[#This Row],[bnr full]],1,4)</f>
        <v>F151</v>
      </c>
      <c r="AG482" s="264" t="str">
        <f>MID(Tabelle2[[#This Row],[bnr full]],5,3)</f>
        <v>147</v>
      </c>
      <c r="AH482" s="265" t="str">
        <f>MID(Tabelle2[[#This Row],[bnr full]],8,3)</f>
        <v>810</v>
      </c>
      <c r="AI482" s="264" t="str">
        <f>MID(Tabelle2[[#This Row],[bnr full]],11,3)</f>
        <v>201</v>
      </c>
      <c r="AJ482" s="252" t="str">
        <f>MID(Tabelle2[[#This Row],[bnr full]],11,3)</f>
        <v>201</v>
      </c>
      <c r="AK482" s="197" t="s">
        <v>1666</v>
      </c>
      <c r="AL482" s="124" t="str">
        <f ca="1">Sprache!$A$111</f>
        <v>Комплект (Л + П)</v>
      </c>
      <c r="AM482" s="187" t="s">
        <v>25</v>
      </c>
      <c r="AN482" s="187" t="str">
        <f ca="1">Sprache!$A$127</f>
        <v>Пружина, белая</v>
      </c>
      <c r="AO482" s="187" t="s">
        <v>25</v>
      </c>
      <c r="AP482" s="187" t="s">
        <v>25</v>
      </c>
      <c r="AQ482" s="187">
        <f>Limits!$K$9</f>
        <v>200</v>
      </c>
      <c r="AR482" s="124">
        <v>1200</v>
      </c>
      <c r="AS482" s="187"/>
      <c r="AT482" s="124"/>
      <c r="AV482"/>
      <c r="AX482" s="10"/>
      <c r="AY482" s="11"/>
      <c r="AZ482" s="2"/>
      <c r="BC482"/>
    </row>
    <row r="483" spans="1:55" hidden="1" x14ac:dyDescent="0.25">
      <c r="A483" s="12" t="str">
        <f ca="1">IF(F483+G483+H483+I483+J483+D483+E483=3,IF(Tabelle2[[#This Row],[Kappe Weiß]]=Limits!$R$29,1,""),"")</f>
        <v/>
      </c>
      <c r="B483" s="12" t="str">
        <f ca="1">IF(G483+H483+I483+J483+E483+F483=2,IF(Tabelle2[[#This Row],[Kappe Weiß]]=Limits!$R$29,1,""),"")</f>
        <v/>
      </c>
      <c r="C483" s="291">
        <v>1</v>
      </c>
      <c r="D483" s="171">
        <f>IF(Limits!$P$7=TRUE,1,0)</f>
        <v>0</v>
      </c>
      <c r="E483" s="172">
        <f>IF(Daten!$P483+Daten!$Q483+Daten!$S483=3,1,0)</f>
        <v>0</v>
      </c>
      <c r="F483" s="173">
        <f ca="1">IF(AND(Limits!$Q$21=TRUE,Daten!O483=1)=TRUE,1,0)</f>
        <v>0</v>
      </c>
      <c r="G483" s="174">
        <f>IF(AND(Limits!$Q$25=TRUE,Daten!N483=1)=TRUE,1,0)</f>
        <v>0</v>
      </c>
      <c r="H483" s="174">
        <f>IF(AND(Limits!$Q$24=TRUE,Daten!M483=1)=TRUE,1,0)</f>
        <v>0</v>
      </c>
      <c r="I483" s="174">
        <f>IF(AND(Limits!$Q$23=TRUE,Daten!L483=1)=TRUE,1,0)</f>
        <v>0</v>
      </c>
      <c r="J483" s="174">
        <f>IF(AND(Limits!$Q$22=TRUE,Daten!K483=1)=TRUE,1,0)</f>
        <v>0</v>
      </c>
      <c r="K483" s="188">
        <f>IF(Daten!$V483=13,1,0)</f>
        <v>0</v>
      </c>
      <c r="L483" s="189">
        <f>IF(Daten!$V483&lt;&gt;Daten!$W483,1,IF(Daten!$V483=14,1,0))</f>
        <v>0</v>
      </c>
      <c r="M483" s="189">
        <f>IF(Daten!$V483&lt;&gt;Daten!$W483,1,IF(Daten!$V483=16,1,0))</f>
        <v>0</v>
      </c>
      <c r="N483" s="189">
        <f>IF(Daten!$W483=17,1,0)</f>
        <v>1</v>
      </c>
      <c r="O483" s="190">
        <f ca="1">IF(Daten!$X483=Sprache!$A$70,1,0)</f>
        <v>0</v>
      </c>
      <c r="P483" s="191">
        <f>IF(AND(Daten!$AQ483&lt;=KINVARO!$AW$3,Daten!$AR483&gt;=KINVARO!$AW$3)=TRUE,1,0)</f>
        <v>1</v>
      </c>
      <c r="Q483" s="192">
        <f>IF(AND(Daten!$AA483&lt;=KINVARO!$AW$4,Daten!$AB483&gt;=KINVARO!$AW$4)=TRUE,1,0)</f>
        <v>0</v>
      </c>
      <c r="R483" s="192"/>
      <c r="S483" s="192">
        <f>IF(AND(Daten!$AD483&lt;=Limits!$I$70,Daten!$AE483&gt;=Limits!$I$70)=TRUE,1,0)</f>
        <v>0</v>
      </c>
      <c r="T483" s="193">
        <f ca="1">IF(Daten!$Y483=Sprache!$A$135,1,0)</f>
        <v>0</v>
      </c>
      <c r="U483" s="124" t="str">
        <f ca="1">Sprache!$A$67</f>
        <v>T-70 Поворотный подъемник</v>
      </c>
      <c r="V483" s="194">
        <v>17</v>
      </c>
      <c r="W483" s="193">
        <v>17</v>
      </c>
      <c r="X483" s="187" t="str">
        <f ca="1">Sprache!$A$141</f>
        <v>Alu</v>
      </c>
      <c r="Y483" s="187" t="str">
        <f ca="1">Sprache!$A$136</f>
        <v>nein</v>
      </c>
      <c r="Z483" s="187" t="str">
        <f ca="1">Sprache!$A$79</f>
        <v>Створка</v>
      </c>
      <c r="AA483" s="187">
        <v>450</v>
      </c>
      <c r="AB483" s="124">
        <v>499</v>
      </c>
      <c r="AC483" s="187"/>
      <c r="AD483" s="195">
        <v>2</v>
      </c>
      <c r="AE483" s="196">
        <v>5.8</v>
      </c>
      <c r="AF483" s="263" t="str">
        <f>MID(Tabelle2[[#This Row],[bnr full]],1,4)</f>
        <v>F151</v>
      </c>
      <c r="AG483" s="264" t="str">
        <f>MID(Tabelle2[[#This Row],[bnr full]],5,3)</f>
        <v>147</v>
      </c>
      <c r="AH483" s="265" t="str">
        <f>MID(Tabelle2[[#This Row],[bnr full]],8,3)</f>
        <v>810</v>
      </c>
      <c r="AI483" s="264" t="str">
        <f>MID(Tabelle2[[#This Row],[bnr full]],11,3)</f>
        <v>201</v>
      </c>
      <c r="AJ483" s="252" t="str">
        <f>MID(Tabelle2[[#This Row],[bnr full]],11,3)</f>
        <v>201</v>
      </c>
      <c r="AK483" s="197" t="s">
        <v>1666</v>
      </c>
      <c r="AL483" s="124" t="str">
        <f ca="1">Sprache!$A$111</f>
        <v>Комплект (Л + П)</v>
      </c>
      <c r="AM483" s="187" t="s">
        <v>25</v>
      </c>
      <c r="AN483" s="187" t="str">
        <f ca="1">Sprache!$A$128</f>
        <v>Пружина, оранжевая</v>
      </c>
      <c r="AO483" s="187" t="s">
        <v>25</v>
      </c>
      <c r="AP483" s="187" t="s">
        <v>25</v>
      </c>
      <c r="AQ483" s="187">
        <f>Limits!$K$9</f>
        <v>200</v>
      </c>
      <c r="AR483" s="124">
        <v>1200</v>
      </c>
      <c r="AS483" s="187"/>
      <c r="AT483" s="124"/>
      <c r="AV483"/>
      <c r="AX483" s="10"/>
      <c r="AY483" s="11"/>
      <c r="AZ483" s="2"/>
      <c r="BC483"/>
    </row>
    <row r="484" spans="1:55" hidden="1" x14ac:dyDescent="0.25">
      <c r="A484" s="12" t="str">
        <f ca="1">IF(F484+G484+H484+I484+J484+D484+E484=3,IF(Tabelle2[[#This Row],[Kappe Weiß]]=Limits!$R$29,1,""),"")</f>
        <v/>
      </c>
      <c r="B484" s="12" t="str">
        <f ca="1">IF(G484+H484+I484+J484+E484+F484=2,IF(Tabelle2[[#This Row],[Kappe Weiß]]=Limits!$R$29,1,""),"")</f>
        <v/>
      </c>
      <c r="C484" s="292">
        <v>1</v>
      </c>
      <c r="D484" s="171">
        <f>IF(Limits!$P$7=TRUE,1,0)</f>
        <v>0</v>
      </c>
      <c r="E484" s="172">
        <f>IF(Daten!$P484+Daten!$Q484+Daten!$S484=3,1,0)</f>
        <v>0</v>
      </c>
      <c r="F484" s="173">
        <f ca="1">IF(AND(Limits!$Q$21=TRUE,Daten!O484=1)=TRUE,1,0)</f>
        <v>1</v>
      </c>
      <c r="G484" s="174">
        <f ca="1">IF(AND(Limits!$Q$25=TRUE,Daten!N484=1)=TRUE,1,0)</f>
        <v>0</v>
      </c>
      <c r="H484" s="174">
        <f ca="1">IF(AND(Limits!$Q$24=TRUE,Daten!M484=1)=TRUE,1,0)</f>
        <v>0</v>
      </c>
      <c r="I484" s="174">
        <f ca="1">IF(AND(Limits!$Q$23=TRUE,Daten!L484=1)=TRUE,1,0)</f>
        <v>0</v>
      </c>
      <c r="J484" s="174">
        <f ca="1">IF(AND(Limits!$Q$22=TRUE,Daten!K484=1)=TRUE,1,0)</f>
        <v>0</v>
      </c>
      <c r="K484" s="188">
        <f ca="1">IF(Daten!$V484=13,1,0)</f>
        <v>0</v>
      </c>
      <c r="L484" s="189">
        <f ca="1">IF(Daten!$V484&lt;&gt;Daten!$W484,1,IF(Daten!$V484=14,1,0))</f>
        <v>0</v>
      </c>
      <c r="M484" s="189">
        <f ca="1">IF(Daten!$V484&lt;&gt;Daten!$W484,1,IF(Daten!$V484=16,1,0))</f>
        <v>0</v>
      </c>
      <c r="N484" s="189">
        <f ca="1">IF(Daten!$W484=17,1,0)</f>
        <v>0</v>
      </c>
      <c r="O484" s="190">
        <f ca="1">IF(Daten!$X484=Sprache!$A$70,1,0)</f>
        <v>1</v>
      </c>
      <c r="P484" s="198">
        <f>IF(AND(Daten!$AQ484&lt;=KINVARO!$AW$3,Daten!$AR484&gt;=KINVARO!$AW$3)=TRUE,1,0)</f>
        <v>1</v>
      </c>
      <c r="Q484" s="199">
        <f>IF(AND(Daten!$AA484&lt;=KINVARO!$AW$4,Daten!$AB484&gt;=KINVARO!$AW$4)=TRUE,1,0)</f>
        <v>0</v>
      </c>
      <c r="R484" s="199"/>
      <c r="S484" s="199">
        <f>IF(AND(Daten!$AD484&lt;=Limits!$I$70,Daten!$AE484&gt;=Limits!$I$70)=TRUE,1,0)</f>
        <v>0</v>
      </c>
      <c r="T484" s="200">
        <f ca="1">IF(Daten!$Y484=Sprache!$A$135,1,0)</f>
        <v>0</v>
      </c>
      <c r="U484" s="201" t="str">
        <f ca="1">Sprache!$A$67</f>
        <v>T-70 Поворотный подъемник</v>
      </c>
      <c r="V484" s="202" t="str">
        <f ca="1">Sprache!$A$74</f>
        <v>var</v>
      </c>
      <c r="W484" s="200" t="str">
        <f ca="1">Sprache!$A$74</f>
        <v>var</v>
      </c>
      <c r="X484" s="203" t="str">
        <f ca="1">Sprache!$A$70</f>
        <v>соединение с древесиной</v>
      </c>
      <c r="Y484" s="187" t="str">
        <f ca="1">Sprache!$A$136</f>
        <v>nein</v>
      </c>
      <c r="Z484" s="203" t="str">
        <f ca="1">Sprache!$A$79</f>
        <v>Створка</v>
      </c>
      <c r="AA484" s="203">
        <v>500</v>
      </c>
      <c r="AB484" s="201">
        <v>549</v>
      </c>
      <c r="AC484" s="203"/>
      <c r="AD484" s="204">
        <v>1.5</v>
      </c>
      <c r="AE484" s="205">
        <v>4</v>
      </c>
      <c r="AF484" s="266" t="str">
        <f>MID(Tabelle2[[#This Row],[bnr full]],1,4)</f>
        <v>F151</v>
      </c>
      <c r="AG484" s="267" t="str">
        <f>MID(Tabelle2[[#This Row],[bnr full]],5,3)</f>
        <v>147</v>
      </c>
      <c r="AH484" s="268" t="str">
        <f>MID(Tabelle2[[#This Row],[bnr full]],8,3)</f>
        <v>693</v>
      </c>
      <c r="AI484" s="267" t="str">
        <f>MID(Tabelle2[[#This Row],[bnr full]],11,3)</f>
        <v>201</v>
      </c>
      <c r="AJ484" s="253" t="str">
        <f>MID(Tabelle2[[#This Row],[bnr full]],11,3)</f>
        <v>201</v>
      </c>
      <c r="AK484" s="206" t="s">
        <v>1662</v>
      </c>
      <c r="AL484" s="201" t="str">
        <f ca="1">Sprache!$A$111</f>
        <v>Комплект (Л + П)</v>
      </c>
      <c r="AM484" s="203" t="s">
        <v>25</v>
      </c>
      <c r="AN484" s="203" t="str">
        <f ca="1">Sprache!$A$127</f>
        <v>Пружина, белая</v>
      </c>
      <c r="AO484" s="187" t="s">
        <v>25</v>
      </c>
      <c r="AP484" s="187" t="s">
        <v>25</v>
      </c>
      <c r="AQ484" s="203">
        <f>Limits!$K$9</f>
        <v>200</v>
      </c>
      <c r="AR484" s="201">
        <v>1200</v>
      </c>
      <c r="AS484" s="187"/>
      <c r="AT484" s="124"/>
      <c r="AV484"/>
      <c r="AX484" s="10"/>
      <c r="AY484" s="11"/>
      <c r="AZ484" s="2"/>
      <c r="BC484"/>
    </row>
    <row r="485" spans="1:55" hidden="1" x14ac:dyDescent="0.25">
      <c r="A485" s="12" t="str">
        <f ca="1">IF(F485+G485+H485+I485+J485+D485+E485=3,IF(Tabelle2[[#This Row],[Kappe Weiß]]=Limits!$R$29,1,""),"")</f>
        <v/>
      </c>
      <c r="B485" s="12" t="str">
        <f ca="1">IF(G485+H485+I485+J485+E485+F485=2,IF(Tabelle2[[#This Row],[Kappe Weiß]]=Limits!$R$29,1,""),"")</f>
        <v/>
      </c>
      <c r="C485" s="291">
        <v>1</v>
      </c>
      <c r="D485" s="171">
        <f>IF(Limits!$P$7=TRUE,1,0)</f>
        <v>0</v>
      </c>
      <c r="E485" s="172">
        <f>IF(Daten!$P485+Daten!$Q485+Daten!$S485=3,1,0)</f>
        <v>0</v>
      </c>
      <c r="F485" s="173">
        <f ca="1">IF(AND(Limits!$Q$21=TRUE,Daten!O485=1)=TRUE,1,0)</f>
        <v>1</v>
      </c>
      <c r="G485" s="174">
        <f ca="1">IF(AND(Limits!$Q$25=TRUE,Daten!N485=1)=TRUE,1,0)</f>
        <v>0</v>
      </c>
      <c r="H485" s="174">
        <f ca="1">IF(AND(Limits!$Q$24=TRUE,Daten!M485=1)=TRUE,1,0)</f>
        <v>0</v>
      </c>
      <c r="I485" s="174">
        <f ca="1">IF(AND(Limits!$Q$23=TRUE,Daten!L485=1)=TRUE,1,0)</f>
        <v>0</v>
      </c>
      <c r="J485" s="174">
        <f ca="1">IF(AND(Limits!$Q$22=TRUE,Daten!K485=1)=TRUE,1,0)</f>
        <v>0</v>
      </c>
      <c r="K485" s="188">
        <f ca="1">IF(Daten!$V485=13,1,0)</f>
        <v>0</v>
      </c>
      <c r="L485" s="189">
        <f ca="1">IF(Daten!$V485&lt;&gt;Daten!$W485,1,IF(Daten!$V485=14,1,0))</f>
        <v>0</v>
      </c>
      <c r="M485" s="189">
        <f ca="1">IF(Daten!$V485&lt;&gt;Daten!$W485,1,IF(Daten!$V485=16,1,0))</f>
        <v>0</v>
      </c>
      <c r="N485" s="189">
        <f ca="1">IF(Daten!$W485=17,1,0)</f>
        <v>0</v>
      </c>
      <c r="O485" s="190">
        <f ca="1">IF(Daten!$X485=Sprache!$A$70,1,0)</f>
        <v>1</v>
      </c>
      <c r="P485" s="191">
        <f>IF(AND(Daten!$AQ485&lt;=KINVARO!$AW$3,Daten!$AR485&gt;=KINVARO!$AW$3)=TRUE,1,0)</f>
        <v>1</v>
      </c>
      <c r="Q485" s="192">
        <f>IF(AND(Daten!$AA485&lt;=KINVARO!$AW$4,Daten!$AB485&gt;=KINVARO!$AW$4)=TRUE,1,0)</f>
        <v>0</v>
      </c>
      <c r="R485" s="192"/>
      <c r="S485" s="192">
        <f>IF(AND(Daten!$AD485&lt;=Limits!$I$70,Daten!$AE485&gt;=Limits!$I$70)=TRUE,1,0)</f>
        <v>0</v>
      </c>
      <c r="T485" s="193">
        <f ca="1">IF(Daten!$Y485=Sprache!$A$135,1,0)</f>
        <v>0</v>
      </c>
      <c r="U485" s="124" t="str">
        <f ca="1">Sprache!$A$67</f>
        <v>T-70 Поворотный подъемник</v>
      </c>
      <c r="V485" s="194" t="str">
        <f ca="1">Sprache!$A$74</f>
        <v>var</v>
      </c>
      <c r="W485" s="193" t="str">
        <f ca="1">Sprache!$A$74</f>
        <v>var</v>
      </c>
      <c r="X485" s="187" t="str">
        <f ca="1">Sprache!$A$70</f>
        <v>соединение с древесиной</v>
      </c>
      <c r="Y485" s="187" t="str">
        <f ca="1">Sprache!$A$136</f>
        <v>nein</v>
      </c>
      <c r="Z485" s="187" t="str">
        <f ca="1">Sprache!$A$79</f>
        <v>Створка</v>
      </c>
      <c r="AA485" s="187">
        <v>500</v>
      </c>
      <c r="AB485" s="124">
        <v>549</v>
      </c>
      <c r="AC485" s="187"/>
      <c r="AD485" s="195">
        <v>1.8</v>
      </c>
      <c r="AE485" s="196">
        <v>5</v>
      </c>
      <c r="AF485" s="263" t="str">
        <f>MID(Tabelle2[[#This Row],[bnr full]],1,4)</f>
        <v>F151</v>
      </c>
      <c r="AG485" s="264" t="str">
        <f>MID(Tabelle2[[#This Row],[bnr full]],5,3)</f>
        <v>147</v>
      </c>
      <c r="AH485" s="265" t="str">
        <f>MID(Tabelle2[[#This Row],[bnr full]],8,3)</f>
        <v>693</v>
      </c>
      <c r="AI485" s="264" t="str">
        <f>MID(Tabelle2[[#This Row],[bnr full]],11,3)</f>
        <v>201</v>
      </c>
      <c r="AJ485" s="252" t="str">
        <f>MID(Tabelle2[[#This Row],[bnr full]],11,3)</f>
        <v>201</v>
      </c>
      <c r="AK485" s="197" t="s">
        <v>1662</v>
      </c>
      <c r="AL485" s="124" t="str">
        <f ca="1">Sprache!$A$111</f>
        <v>Комплект (Л + П)</v>
      </c>
      <c r="AM485" s="187" t="s">
        <v>25</v>
      </c>
      <c r="AN485" s="187" t="str">
        <f ca="1">Sprache!$A$128</f>
        <v>Пружина, оранжевая</v>
      </c>
      <c r="AO485" s="187" t="s">
        <v>25</v>
      </c>
      <c r="AP485" s="187" t="s">
        <v>25</v>
      </c>
      <c r="AQ485" s="187">
        <f>Limits!$K$9</f>
        <v>200</v>
      </c>
      <c r="AR485" s="124">
        <v>1200</v>
      </c>
      <c r="AS485" s="187"/>
      <c r="AT485" s="124"/>
      <c r="AV485"/>
      <c r="AX485" s="10"/>
      <c r="AY485" s="11"/>
      <c r="AZ485" s="2"/>
      <c r="BC485"/>
    </row>
    <row r="486" spans="1:55" hidden="1" x14ac:dyDescent="0.25">
      <c r="A486" s="12" t="str">
        <f ca="1">IF(F486+G486+H486+I486+J486+D486+E486=3,IF(Tabelle2[[#This Row],[Kappe Weiß]]=Limits!$R$29,1,""),"")</f>
        <v/>
      </c>
      <c r="B486" s="12" t="str">
        <f ca="1">IF(G486+H486+I486+J486+E486+F486=2,IF(Tabelle2[[#This Row],[Kappe Weiß]]=Limits!$R$29,1,""),"")</f>
        <v/>
      </c>
      <c r="C486" s="291">
        <v>1</v>
      </c>
      <c r="D486" s="171">
        <f>IF(Limits!$P$7=TRUE,1,0)</f>
        <v>0</v>
      </c>
      <c r="E486" s="172">
        <f>IF(Daten!$P486+Daten!$Q486+Daten!$S486=3,1,0)</f>
        <v>0</v>
      </c>
      <c r="F486" s="173">
        <f ca="1">IF(AND(Limits!$Q$21=TRUE,Daten!O486=1)=TRUE,1,0)</f>
        <v>0</v>
      </c>
      <c r="G486" s="174">
        <f>IF(AND(Limits!$Q$25=TRUE,Daten!N486=1)=TRUE,1,0)</f>
        <v>0</v>
      </c>
      <c r="H486" s="174">
        <f>IF(AND(Limits!$Q$24=TRUE,Daten!M486=1)=TRUE,1,0)</f>
        <v>0</v>
      </c>
      <c r="I486" s="174">
        <f>IF(AND(Limits!$Q$23=TRUE,Daten!L486=1)=TRUE,1,0)</f>
        <v>0</v>
      </c>
      <c r="J486" s="174">
        <f>IF(AND(Limits!$Q$22=TRUE,Daten!K486=1)=TRUE,1,0)</f>
        <v>0</v>
      </c>
      <c r="K486" s="188">
        <f>IF(Daten!$V486=13,1,0)</f>
        <v>1</v>
      </c>
      <c r="L486" s="189">
        <f>IF(Daten!$V486&lt;&gt;Daten!$W486,1,IF(Daten!$V486=14,1,0))</f>
        <v>0</v>
      </c>
      <c r="M486" s="189">
        <f>IF(Daten!$V486&lt;&gt;Daten!$W486,1,IF(Daten!$V486=16,1,0))</f>
        <v>0</v>
      </c>
      <c r="N486" s="189">
        <f>IF(Daten!$W486=17,1,0)</f>
        <v>0</v>
      </c>
      <c r="O486" s="190">
        <f ca="1">IF(Daten!$X486=Sprache!$A$70,1,0)</f>
        <v>0</v>
      </c>
      <c r="P486" s="191">
        <f>IF(AND(Daten!$AQ486&lt;=KINVARO!$AW$3,Daten!$AR486&gt;=KINVARO!$AW$3)=TRUE,1,0)</f>
        <v>1</v>
      </c>
      <c r="Q486" s="192">
        <f>IF(AND(Daten!$AA486&lt;=KINVARO!$AW$4,Daten!$AB486&gt;=KINVARO!$AW$4)=TRUE,1,0)</f>
        <v>0</v>
      </c>
      <c r="R486" s="192"/>
      <c r="S486" s="192">
        <f>IF(AND(Daten!$AD486&lt;=Limits!$I$70,Daten!$AE486&gt;=Limits!$I$70)=TRUE,1,0)</f>
        <v>0</v>
      </c>
      <c r="T486" s="193">
        <f ca="1">IF(Daten!$Y486=Sprache!$A$135,1,0)</f>
        <v>0</v>
      </c>
      <c r="U486" s="124" t="str">
        <f ca="1">Sprache!$A$67</f>
        <v>T-70 Поворотный подъемник</v>
      </c>
      <c r="V486" s="194">
        <v>13</v>
      </c>
      <c r="W486" s="193">
        <v>13</v>
      </c>
      <c r="X486" s="187" t="str">
        <f ca="1">Sprache!$A$141</f>
        <v>Alu</v>
      </c>
      <c r="Y486" s="187" t="str">
        <f ca="1">Sprache!$A$136</f>
        <v>nein</v>
      </c>
      <c r="Z486" s="187" t="str">
        <f ca="1">Sprache!$A$79</f>
        <v>Створка</v>
      </c>
      <c r="AA486" s="187">
        <v>500</v>
      </c>
      <c r="AB486" s="124">
        <v>549</v>
      </c>
      <c r="AC486" s="187"/>
      <c r="AD486" s="195">
        <v>1.5</v>
      </c>
      <c r="AE486" s="196">
        <v>4</v>
      </c>
      <c r="AF486" s="263" t="str">
        <f>MID(Tabelle2[[#This Row],[bnr full]],1,4)</f>
        <v>F151</v>
      </c>
      <c r="AG486" s="264" t="str">
        <f>MID(Tabelle2[[#This Row],[bnr full]],5,3)</f>
        <v>147</v>
      </c>
      <c r="AH486" s="265" t="str">
        <f>MID(Tabelle2[[#This Row],[bnr full]],8,3)</f>
        <v>807</v>
      </c>
      <c r="AI486" s="264" t="str">
        <f>MID(Tabelle2[[#This Row],[bnr full]],11,3)</f>
        <v>201</v>
      </c>
      <c r="AJ486" s="252" t="str">
        <f>MID(Tabelle2[[#This Row],[bnr full]],11,3)</f>
        <v>201</v>
      </c>
      <c r="AK486" s="197" t="s">
        <v>1663</v>
      </c>
      <c r="AL486" s="124" t="str">
        <f ca="1">Sprache!$A$111</f>
        <v>Комплект (Л + П)</v>
      </c>
      <c r="AM486" s="187" t="s">
        <v>25</v>
      </c>
      <c r="AN486" s="187" t="str">
        <f ca="1">Sprache!$A$127</f>
        <v>Пружина, белая</v>
      </c>
      <c r="AO486" s="187" t="s">
        <v>25</v>
      </c>
      <c r="AP486" s="187" t="s">
        <v>25</v>
      </c>
      <c r="AQ486" s="187">
        <f>Limits!$K$9</f>
        <v>200</v>
      </c>
      <c r="AR486" s="124">
        <v>1200</v>
      </c>
      <c r="AS486" s="187"/>
      <c r="AT486" s="124"/>
      <c r="AV486"/>
      <c r="AX486" s="10"/>
      <c r="AY486" s="11"/>
      <c r="AZ486" s="2"/>
      <c r="BC486"/>
    </row>
    <row r="487" spans="1:55" hidden="1" x14ac:dyDescent="0.25">
      <c r="A487" s="12" t="str">
        <f ca="1">IF(F487+G487+H487+I487+J487+D487+E487=3,IF(Tabelle2[[#This Row],[Kappe Weiß]]=Limits!$R$29,1,""),"")</f>
        <v/>
      </c>
      <c r="B487" s="12" t="str">
        <f ca="1">IF(G487+H487+I487+J487+E487+F487=2,IF(Tabelle2[[#This Row],[Kappe Weiß]]=Limits!$R$29,1,""),"")</f>
        <v/>
      </c>
      <c r="C487" s="291">
        <v>1</v>
      </c>
      <c r="D487" s="171">
        <f>IF(Limits!$P$7=TRUE,1,0)</f>
        <v>0</v>
      </c>
      <c r="E487" s="172">
        <f>IF(Daten!$P487+Daten!$Q487+Daten!$S487=3,1,0)</f>
        <v>0</v>
      </c>
      <c r="F487" s="173">
        <f ca="1">IF(AND(Limits!$Q$21=TRUE,Daten!O487=1)=TRUE,1,0)</f>
        <v>0</v>
      </c>
      <c r="G487" s="174">
        <f>IF(AND(Limits!$Q$25=TRUE,Daten!N487=1)=TRUE,1,0)</f>
        <v>0</v>
      </c>
      <c r="H487" s="174">
        <f>IF(AND(Limits!$Q$24=TRUE,Daten!M487=1)=TRUE,1,0)</f>
        <v>0</v>
      </c>
      <c r="I487" s="174">
        <f>IF(AND(Limits!$Q$23=TRUE,Daten!L487=1)=TRUE,1,0)</f>
        <v>0</v>
      </c>
      <c r="J487" s="174">
        <f>IF(AND(Limits!$Q$22=TRUE,Daten!K487=1)=TRUE,1,0)</f>
        <v>0</v>
      </c>
      <c r="K487" s="188">
        <f>IF(Daten!$V487=13,1,0)</f>
        <v>1</v>
      </c>
      <c r="L487" s="189">
        <f>IF(Daten!$V487&lt;&gt;Daten!$W487,1,IF(Daten!$V487=14,1,0))</f>
        <v>0</v>
      </c>
      <c r="M487" s="189">
        <f>IF(Daten!$V487&lt;&gt;Daten!$W487,1,IF(Daten!$V487=16,1,0))</f>
        <v>0</v>
      </c>
      <c r="N487" s="189">
        <f>IF(Daten!$W487=17,1,0)</f>
        <v>0</v>
      </c>
      <c r="O487" s="190">
        <f ca="1">IF(Daten!$X487=Sprache!$A$70,1,0)</f>
        <v>0</v>
      </c>
      <c r="P487" s="191">
        <f>IF(AND(Daten!$AQ487&lt;=KINVARO!$AW$3,Daten!$AR487&gt;=KINVARO!$AW$3)=TRUE,1,0)</f>
        <v>1</v>
      </c>
      <c r="Q487" s="192">
        <f>IF(AND(Daten!$AA487&lt;=KINVARO!$AW$4,Daten!$AB487&gt;=KINVARO!$AW$4)=TRUE,1,0)</f>
        <v>0</v>
      </c>
      <c r="R487" s="192"/>
      <c r="S487" s="192">
        <f>IF(AND(Daten!$AD487&lt;=Limits!$I$70,Daten!$AE487&gt;=Limits!$I$70)=TRUE,1,0)</f>
        <v>0</v>
      </c>
      <c r="T487" s="193">
        <f ca="1">IF(Daten!$Y487=Sprache!$A$135,1,0)</f>
        <v>0</v>
      </c>
      <c r="U487" s="124" t="str">
        <f ca="1">Sprache!$A$67</f>
        <v>T-70 Поворотный подъемник</v>
      </c>
      <c r="V487" s="194">
        <v>13</v>
      </c>
      <c r="W487" s="193">
        <v>13</v>
      </c>
      <c r="X487" s="187" t="str">
        <f ca="1">Sprache!$A$141</f>
        <v>Alu</v>
      </c>
      <c r="Y487" s="187" t="str">
        <f ca="1">Sprache!$A$136</f>
        <v>nein</v>
      </c>
      <c r="Z487" s="187" t="str">
        <f ca="1">Sprache!$A$79</f>
        <v>Створка</v>
      </c>
      <c r="AA487" s="187">
        <v>500</v>
      </c>
      <c r="AB487" s="124">
        <v>549</v>
      </c>
      <c r="AC487" s="187"/>
      <c r="AD487" s="195">
        <v>1.8</v>
      </c>
      <c r="AE487" s="196">
        <v>5</v>
      </c>
      <c r="AF487" s="263" t="str">
        <f>MID(Tabelle2[[#This Row],[bnr full]],1,4)</f>
        <v>F151</v>
      </c>
      <c r="AG487" s="264" t="str">
        <f>MID(Tabelle2[[#This Row],[bnr full]],5,3)</f>
        <v>147</v>
      </c>
      <c r="AH487" s="265" t="str">
        <f>MID(Tabelle2[[#This Row],[bnr full]],8,3)</f>
        <v>807</v>
      </c>
      <c r="AI487" s="264" t="str">
        <f>MID(Tabelle2[[#This Row],[bnr full]],11,3)</f>
        <v>201</v>
      </c>
      <c r="AJ487" s="252" t="str">
        <f>MID(Tabelle2[[#This Row],[bnr full]],11,3)</f>
        <v>201</v>
      </c>
      <c r="AK487" s="197" t="s">
        <v>1663</v>
      </c>
      <c r="AL487" s="124" t="str">
        <f ca="1">Sprache!$A$111</f>
        <v>Комплект (Л + П)</v>
      </c>
      <c r="AM487" s="187" t="s">
        <v>25</v>
      </c>
      <c r="AN487" s="187" t="str">
        <f ca="1">Sprache!$A$128</f>
        <v>Пружина, оранжевая</v>
      </c>
      <c r="AO487" s="187" t="s">
        <v>25</v>
      </c>
      <c r="AP487" s="187" t="s">
        <v>25</v>
      </c>
      <c r="AQ487" s="187">
        <f>Limits!$K$9</f>
        <v>200</v>
      </c>
      <c r="AR487" s="124">
        <v>1200</v>
      </c>
      <c r="AS487" s="187"/>
      <c r="AT487" s="124"/>
      <c r="AV487"/>
      <c r="AX487" s="10"/>
      <c r="AY487" s="11"/>
      <c r="AZ487" s="2"/>
      <c r="BC487"/>
    </row>
    <row r="488" spans="1:55" hidden="1" x14ac:dyDescent="0.25">
      <c r="A488" s="12" t="str">
        <f ca="1">IF(F488+G488+H488+I488+J488+D488+E488=3,IF(Tabelle2[[#This Row],[Kappe Weiß]]=Limits!$R$29,1,""),"")</f>
        <v/>
      </c>
      <c r="B488" s="12" t="str">
        <f ca="1">IF(G488+H488+I488+J488+E488+F488=2,IF(Tabelle2[[#This Row],[Kappe Weiß]]=Limits!$R$29,1,""),"")</f>
        <v/>
      </c>
      <c r="C488" s="291">
        <v>1</v>
      </c>
      <c r="D488" s="171">
        <f>IF(Limits!$P$7=TRUE,1,0)</f>
        <v>0</v>
      </c>
      <c r="E488" s="172">
        <f>IF(Daten!$P488+Daten!$Q488+Daten!$S488=3,1,0)</f>
        <v>0</v>
      </c>
      <c r="F488" s="173">
        <f ca="1">IF(AND(Limits!$Q$21=TRUE,Daten!O488=1)=TRUE,1,0)</f>
        <v>0</v>
      </c>
      <c r="G488" s="174">
        <f>IF(AND(Limits!$Q$25=TRUE,Daten!N488=1)=TRUE,1,0)</f>
        <v>0</v>
      </c>
      <c r="H488" s="174">
        <f>IF(AND(Limits!$Q$24=TRUE,Daten!M488=1)=TRUE,1,0)</f>
        <v>0</v>
      </c>
      <c r="I488" s="174">
        <f>IF(AND(Limits!$Q$23=TRUE,Daten!L488=1)=TRUE,1,0)</f>
        <v>0</v>
      </c>
      <c r="J488" s="174">
        <f>IF(AND(Limits!$Q$22=TRUE,Daten!K488=1)=TRUE,1,0)</f>
        <v>0</v>
      </c>
      <c r="K488" s="188">
        <f>IF(Daten!$V488=13,1,0)</f>
        <v>0</v>
      </c>
      <c r="L488" s="189">
        <f>IF(Daten!$V488&lt;&gt;Daten!$W488,1,IF(Daten!$V488=14,1,0))</f>
        <v>1</v>
      </c>
      <c r="M488" s="189">
        <f>IF(Daten!$V488&lt;&gt;Daten!$W488,1,IF(Daten!$V488=16,1,0))</f>
        <v>0</v>
      </c>
      <c r="N488" s="189">
        <f>IF(Daten!$W488=17,1,0)</f>
        <v>0</v>
      </c>
      <c r="O488" s="190">
        <f ca="1">IF(Daten!$X488=Sprache!$A$70,1,0)</f>
        <v>0</v>
      </c>
      <c r="P488" s="191">
        <f>IF(AND(Daten!$AQ488&lt;=KINVARO!$AW$3,Daten!$AR488&gt;=KINVARO!$AW$3)=TRUE,1,0)</f>
        <v>1</v>
      </c>
      <c r="Q488" s="192">
        <f>IF(AND(Daten!$AA488&lt;=KINVARO!$AW$4,Daten!$AB488&gt;=KINVARO!$AW$4)=TRUE,1,0)</f>
        <v>0</v>
      </c>
      <c r="R488" s="192"/>
      <c r="S488" s="192">
        <f>IF(AND(Daten!$AD488&lt;=Limits!$I$70,Daten!$AE488&gt;=Limits!$I$70)=TRUE,1,0)</f>
        <v>0</v>
      </c>
      <c r="T488" s="193">
        <f ca="1">IF(Daten!$Y488=Sprache!$A$135,1,0)</f>
        <v>0</v>
      </c>
      <c r="U488" s="124" t="str">
        <f ca="1">Sprache!$A$67</f>
        <v>T-70 Поворотный подъемник</v>
      </c>
      <c r="V488" s="194">
        <v>14</v>
      </c>
      <c r="W488" s="193">
        <v>14</v>
      </c>
      <c r="X488" s="187" t="str">
        <f ca="1">Sprache!$A$141</f>
        <v>Alu</v>
      </c>
      <c r="Y488" s="187" t="str">
        <f ca="1">Sprache!$A$136</f>
        <v>nein</v>
      </c>
      <c r="Z488" s="187" t="str">
        <f ca="1">Sprache!$A$79</f>
        <v>Створка</v>
      </c>
      <c r="AA488" s="187">
        <v>500</v>
      </c>
      <c r="AB488" s="124">
        <v>549</v>
      </c>
      <c r="AC488" s="187"/>
      <c r="AD488" s="195">
        <v>1.5</v>
      </c>
      <c r="AE488" s="196">
        <v>4</v>
      </c>
      <c r="AF488" s="263" t="str">
        <f>MID(Tabelle2[[#This Row],[bnr full]],1,4)</f>
        <v>F151</v>
      </c>
      <c r="AG488" s="264" t="str">
        <f>MID(Tabelle2[[#This Row],[bnr full]],5,3)</f>
        <v>147</v>
      </c>
      <c r="AH488" s="265" t="str">
        <f>MID(Tabelle2[[#This Row],[bnr full]],8,3)</f>
        <v>808</v>
      </c>
      <c r="AI488" s="264" t="str">
        <f>MID(Tabelle2[[#This Row],[bnr full]],11,3)</f>
        <v>201</v>
      </c>
      <c r="AJ488" s="252" t="str">
        <f>MID(Tabelle2[[#This Row],[bnr full]],11,3)</f>
        <v>201</v>
      </c>
      <c r="AK488" s="197" t="s">
        <v>1664</v>
      </c>
      <c r="AL488" s="124" t="str">
        <f ca="1">Sprache!$A$111</f>
        <v>Комплект (Л + П)</v>
      </c>
      <c r="AM488" s="187" t="s">
        <v>25</v>
      </c>
      <c r="AN488" s="187" t="str">
        <f ca="1">Sprache!$A$127</f>
        <v>Пружина, белая</v>
      </c>
      <c r="AO488" s="187" t="s">
        <v>25</v>
      </c>
      <c r="AP488" s="187" t="s">
        <v>25</v>
      </c>
      <c r="AQ488" s="187">
        <f>Limits!$K$9</f>
        <v>200</v>
      </c>
      <c r="AR488" s="124">
        <v>1200</v>
      </c>
      <c r="AS488" s="187"/>
      <c r="AT488" s="124"/>
      <c r="AV488"/>
      <c r="AX488" s="10"/>
      <c r="AY488" s="11"/>
      <c r="AZ488" s="2"/>
      <c r="BC488"/>
    </row>
    <row r="489" spans="1:55" hidden="1" x14ac:dyDescent="0.25">
      <c r="A489" s="12" t="str">
        <f ca="1">IF(F489+G489+H489+I489+J489+D489+E489=3,IF(Tabelle2[[#This Row],[Kappe Weiß]]=Limits!$R$29,1,""),"")</f>
        <v/>
      </c>
      <c r="B489" s="12" t="str">
        <f ca="1">IF(G489+H489+I489+J489+E489+F489=2,IF(Tabelle2[[#This Row],[Kappe Weiß]]=Limits!$R$29,1,""),"")</f>
        <v/>
      </c>
      <c r="C489" s="291">
        <v>1</v>
      </c>
      <c r="D489" s="171">
        <f>IF(Limits!$P$7=TRUE,1,0)</f>
        <v>0</v>
      </c>
      <c r="E489" s="172">
        <f>IF(Daten!$P489+Daten!$Q489+Daten!$S489=3,1,0)</f>
        <v>0</v>
      </c>
      <c r="F489" s="173">
        <f ca="1">IF(AND(Limits!$Q$21=TRUE,Daten!O489=1)=TRUE,1,0)</f>
        <v>0</v>
      </c>
      <c r="G489" s="174">
        <f>IF(AND(Limits!$Q$25=TRUE,Daten!N489=1)=TRUE,1,0)</f>
        <v>0</v>
      </c>
      <c r="H489" s="174">
        <f>IF(AND(Limits!$Q$24=TRUE,Daten!M489=1)=TRUE,1,0)</f>
        <v>0</v>
      </c>
      <c r="I489" s="174">
        <f>IF(AND(Limits!$Q$23=TRUE,Daten!L489=1)=TRUE,1,0)</f>
        <v>0</v>
      </c>
      <c r="J489" s="174">
        <f>IF(AND(Limits!$Q$22=TRUE,Daten!K489=1)=TRUE,1,0)</f>
        <v>0</v>
      </c>
      <c r="K489" s="188">
        <f>IF(Daten!$V489=13,1,0)</f>
        <v>0</v>
      </c>
      <c r="L489" s="189">
        <f>IF(Daten!$V489&lt;&gt;Daten!$W489,1,IF(Daten!$V489=14,1,0))</f>
        <v>1</v>
      </c>
      <c r="M489" s="189">
        <f>IF(Daten!$V489&lt;&gt;Daten!$W489,1,IF(Daten!$V489=16,1,0))</f>
        <v>0</v>
      </c>
      <c r="N489" s="189">
        <f>IF(Daten!$W489=17,1,0)</f>
        <v>0</v>
      </c>
      <c r="O489" s="190">
        <f ca="1">IF(Daten!$X489=Sprache!$A$70,1,0)</f>
        <v>0</v>
      </c>
      <c r="P489" s="191">
        <f>IF(AND(Daten!$AQ489&lt;=KINVARO!$AW$3,Daten!$AR489&gt;=KINVARO!$AW$3)=TRUE,1,0)</f>
        <v>1</v>
      </c>
      <c r="Q489" s="192">
        <f>IF(AND(Daten!$AA489&lt;=KINVARO!$AW$4,Daten!$AB489&gt;=KINVARO!$AW$4)=TRUE,1,0)</f>
        <v>0</v>
      </c>
      <c r="R489" s="192"/>
      <c r="S489" s="192">
        <f>IF(AND(Daten!$AD489&lt;=Limits!$I$70,Daten!$AE489&gt;=Limits!$I$70)=TRUE,1,0)</f>
        <v>0</v>
      </c>
      <c r="T489" s="193">
        <f ca="1">IF(Daten!$Y489=Sprache!$A$135,1,0)</f>
        <v>0</v>
      </c>
      <c r="U489" s="124" t="str">
        <f ca="1">Sprache!$A$67</f>
        <v>T-70 Поворотный подъемник</v>
      </c>
      <c r="V489" s="194">
        <v>14</v>
      </c>
      <c r="W489" s="193">
        <v>14</v>
      </c>
      <c r="X489" s="187" t="str">
        <f ca="1">Sprache!$A$141</f>
        <v>Alu</v>
      </c>
      <c r="Y489" s="187" t="str">
        <f ca="1">Sprache!$A$136</f>
        <v>nein</v>
      </c>
      <c r="Z489" s="187" t="str">
        <f ca="1">Sprache!$A$79</f>
        <v>Створка</v>
      </c>
      <c r="AA489" s="187">
        <v>500</v>
      </c>
      <c r="AB489" s="124">
        <v>549</v>
      </c>
      <c r="AC489" s="187"/>
      <c r="AD489" s="195">
        <v>1.8</v>
      </c>
      <c r="AE489" s="196">
        <v>5</v>
      </c>
      <c r="AF489" s="263" t="str">
        <f>MID(Tabelle2[[#This Row],[bnr full]],1,4)</f>
        <v>F151</v>
      </c>
      <c r="AG489" s="264" t="str">
        <f>MID(Tabelle2[[#This Row],[bnr full]],5,3)</f>
        <v>147</v>
      </c>
      <c r="AH489" s="265" t="str">
        <f>MID(Tabelle2[[#This Row],[bnr full]],8,3)</f>
        <v>808</v>
      </c>
      <c r="AI489" s="264" t="str">
        <f>MID(Tabelle2[[#This Row],[bnr full]],11,3)</f>
        <v>201</v>
      </c>
      <c r="AJ489" s="252" t="str">
        <f>MID(Tabelle2[[#This Row],[bnr full]],11,3)</f>
        <v>201</v>
      </c>
      <c r="AK489" s="197" t="s">
        <v>1664</v>
      </c>
      <c r="AL489" s="124" t="str">
        <f ca="1">Sprache!$A$111</f>
        <v>Комплект (Л + П)</v>
      </c>
      <c r="AM489" s="187" t="s">
        <v>25</v>
      </c>
      <c r="AN489" s="187" t="str">
        <f ca="1">Sprache!$A$128</f>
        <v>Пружина, оранжевая</v>
      </c>
      <c r="AO489" s="187" t="s">
        <v>25</v>
      </c>
      <c r="AP489" s="187" t="s">
        <v>25</v>
      </c>
      <c r="AQ489" s="187">
        <f>Limits!$K$9</f>
        <v>200</v>
      </c>
      <c r="AR489" s="124">
        <v>1200</v>
      </c>
      <c r="AS489" s="187"/>
      <c r="AT489" s="124"/>
      <c r="AV489"/>
      <c r="AX489" s="10"/>
      <c r="AY489" s="11"/>
      <c r="AZ489" s="2"/>
      <c r="BC489"/>
    </row>
    <row r="490" spans="1:55" hidden="1" x14ac:dyDescent="0.25">
      <c r="A490" s="12" t="str">
        <f ca="1">IF(F490+G490+H490+I490+J490+D490+E490=3,IF(Tabelle2[[#This Row],[Kappe Weiß]]=Limits!$R$29,1,""),"")</f>
        <v/>
      </c>
      <c r="B490" s="12" t="str">
        <f ca="1">IF(G490+H490+I490+J490+E490+F490=2,IF(Tabelle2[[#This Row],[Kappe Weiß]]=Limits!$R$29,1,""),"")</f>
        <v/>
      </c>
      <c r="C490" s="291">
        <v>1</v>
      </c>
      <c r="D490" s="171">
        <f>IF(Limits!$P$7=TRUE,1,0)</f>
        <v>0</v>
      </c>
      <c r="E490" s="172">
        <f>IF(Daten!$P490+Daten!$Q490+Daten!$S490=3,1,0)</f>
        <v>0</v>
      </c>
      <c r="F490" s="173">
        <f ca="1">IF(AND(Limits!$Q$21=TRUE,Daten!O490=1)=TRUE,1,0)</f>
        <v>0</v>
      </c>
      <c r="G490" s="174">
        <f>IF(AND(Limits!$Q$25=TRUE,Daten!N490=1)=TRUE,1,0)</f>
        <v>0</v>
      </c>
      <c r="H490" s="174">
        <f>IF(AND(Limits!$Q$24=TRUE,Daten!M490=1)=TRUE,1,0)</f>
        <v>0</v>
      </c>
      <c r="I490" s="174">
        <f>IF(AND(Limits!$Q$23=TRUE,Daten!L490=1)=TRUE,1,0)</f>
        <v>0</v>
      </c>
      <c r="J490" s="174">
        <f>IF(AND(Limits!$Q$22=TRUE,Daten!K490=1)=TRUE,1,0)</f>
        <v>0</v>
      </c>
      <c r="K490" s="188">
        <f>IF(Daten!$V490=13,1,0)</f>
        <v>0</v>
      </c>
      <c r="L490" s="189">
        <f>IF(Daten!$V490&lt;&gt;Daten!$W490,1,IF(Daten!$V490=14,1,0))</f>
        <v>0</v>
      </c>
      <c r="M490" s="189">
        <f>IF(Daten!$V490&lt;&gt;Daten!$W490,1,IF(Daten!$V490=16,1,0))</f>
        <v>1</v>
      </c>
      <c r="N490" s="189">
        <f>IF(Daten!$W490=17,1,0)</f>
        <v>0</v>
      </c>
      <c r="O490" s="190">
        <f ca="1">IF(Daten!$X490=Sprache!$A$70,1,0)</f>
        <v>0</v>
      </c>
      <c r="P490" s="191">
        <f>IF(AND(Daten!$AQ490&lt;=KINVARO!$AW$3,Daten!$AR490&gt;=KINVARO!$AW$3)=TRUE,1,0)</f>
        <v>1</v>
      </c>
      <c r="Q490" s="192">
        <f>IF(AND(Daten!$AA490&lt;=KINVARO!$AW$4,Daten!$AB490&gt;=KINVARO!$AW$4)=TRUE,1,0)</f>
        <v>0</v>
      </c>
      <c r="R490" s="192"/>
      <c r="S490" s="192">
        <f>IF(AND(Daten!$AD490&lt;=Limits!$I$70,Daten!$AE490&gt;=Limits!$I$70)=TRUE,1,0)</f>
        <v>0</v>
      </c>
      <c r="T490" s="193">
        <f ca="1">IF(Daten!$Y490=Sprache!$A$135,1,0)</f>
        <v>0</v>
      </c>
      <c r="U490" s="124" t="str">
        <f ca="1">Sprache!$A$67</f>
        <v>T-70 Поворотный подъемник</v>
      </c>
      <c r="V490" s="194">
        <v>16</v>
      </c>
      <c r="W490" s="193">
        <v>16</v>
      </c>
      <c r="X490" s="187" t="str">
        <f ca="1">Sprache!$A$141</f>
        <v>Alu</v>
      </c>
      <c r="Y490" s="187" t="str">
        <f ca="1">Sprache!$A$136</f>
        <v>nein</v>
      </c>
      <c r="Z490" s="187" t="str">
        <f ca="1">Sprache!$A$79</f>
        <v>Створка</v>
      </c>
      <c r="AA490" s="187">
        <v>500</v>
      </c>
      <c r="AB490" s="124">
        <v>549</v>
      </c>
      <c r="AC490" s="187"/>
      <c r="AD490" s="195">
        <v>1.5</v>
      </c>
      <c r="AE490" s="196">
        <v>4</v>
      </c>
      <c r="AF490" s="263" t="str">
        <f>MID(Tabelle2[[#This Row],[bnr full]],1,4)</f>
        <v>F151</v>
      </c>
      <c r="AG490" s="264" t="str">
        <f>MID(Tabelle2[[#This Row],[bnr full]],5,3)</f>
        <v>147</v>
      </c>
      <c r="AH490" s="265" t="str">
        <f>MID(Tabelle2[[#This Row],[bnr full]],8,3)</f>
        <v>809</v>
      </c>
      <c r="AI490" s="264" t="str">
        <f>MID(Tabelle2[[#This Row],[bnr full]],11,3)</f>
        <v>201</v>
      </c>
      <c r="AJ490" s="252" t="str">
        <f>MID(Tabelle2[[#This Row],[bnr full]],11,3)</f>
        <v>201</v>
      </c>
      <c r="AK490" s="197" t="s">
        <v>1665</v>
      </c>
      <c r="AL490" s="124" t="str">
        <f ca="1">Sprache!$A$111</f>
        <v>Комплект (Л + П)</v>
      </c>
      <c r="AM490" s="187" t="s">
        <v>25</v>
      </c>
      <c r="AN490" s="187" t="str">
        <f ca="1">Sprache!$A$127</f>
        <v>Пружина, белая</v>
      </c>
      <c r="AO490" s="187" t="s">
        <v>25</v>
      </c>
      <c r="AP490" s="187" t="s">
        <v>25</v>
      </c>
      <c r="AQ490" s="187">
        <f>Limits!$K$9</f>
        <v>200</v>
      </c>
      <c r="AR490" s="124">
        <v>1200</v>
      </c>
      <c r="AS490" s="187"/>
      <c r="AT490" s="124"/>
      <c r="AV490"/>
      <c r="AX490" s="10"/>
      <c r="AY490" s="11"/>
      <c r="AZ490" s="2"/>
      <c r="BC490"/>
    </row>
    <row r="491" spans="1:55" hidden="1" x14ac:dyDescent="0.25">
      <c r="A491" s="12" t="str">
        <f ca="1">IF(F491+G491+H491+I491+J491+D491+E491=3,IF(Tabelle2[[#This Row],[Kappe Weiß]]=Limits!$R$29,1,""),"")</f>
        <v/>
      </c>
      <c r="B491" s="12" t="str">
        <f ca="1">IF(G491+H491+I491+J491+E491+F491=2,IF(Tabelle2[[#This Row],[Kappe Weiß]]=Limits!$R$29,1,""),"")</f>
        <v/>
      </c>
      <c r="C491" s="291">
        <v>1</v>
      </c>
      <c r="D491" s="171">
        <f>IF(Limits!$P$7=TRUE,1,0)</f>
        <v>0</v>
      </c>
      <c r="E491" s="172">
        <f>IF(Daten!$P491+Daten!$Q491+Daten!$S491=3,1,0)</f>
        <v>0</v>
      </c>
      <c r="F491" s="173">
        <f ca="1">IF(AND(Limits!$Q$21=TRUE,Daten!O491=1)=TRUE,1,0)</f>
        <v>0</v>
      </c>
      <c r="G491" s="174">
        <f>IF(AND(Limits!$Q$25=TRUE,Daten!N491=1)=TRUE,1,0)</f>
        <v>0</v>
      </c>
      <c r="H491" s="174">
        <f>IF(AND(Limits!$Q$24=TRUE,Daten!M491=1)=TRUE,1,0)</f>
        <v>0</v>
      </c>
      <c r="I491" s="174">
        <f>IF(AND(Limits!$Q$23=TRUE,Daten!L491=1)=TRUE,1,0)</f>
        <v>0</v>
      </c>
      <c r="J491" s="174">
        <f>IF(AND(Limits!$Q$22=TRUE,Daten!K491=1)=TRUE,1,0)</f>
        <v>0</v>
      </c>
      <c r="K491" s="188">
        <f>IF(Daten!$V491=13,1,0)</f>
        <v>0</v>
      </c>
      <c r="L491" s="189">
        <f>IF(Daten!$V491&lt;&gt;Daten!$W491,1,IF(Daten!$V491=14,1,0))</f>
        <v>0</v>
      </c>
      <c r="M491" s="189">
        <f>IF(Daten!$V491&lt;&gt;Daten!$W491,1,IF(Daten!$V491=16,1,0))</f>
        <v>1</v>
      </c>
      <c r="N491" s="189">
        <f>IF(Daten!$W491=17,1,0)</f>
        <v>0</v>
      </c>
      <c r="O491" s="190">
        <f ca="1">IF(Daten!$X491=Sprache!$A$70,1,0)</f>
        <v>0</v>
      </c>
      <c r="P491" s="191">
        <f>IF(AND(Daten!$AQ491&lt;=KINVARO!$AW$3,Daten!$AR491&gt;=KINVARO!$AW$3)=TRUE,1,0)</f>
        <v>1</v>
      </c>
      <c r="Q491" s="192">
        <f>IF(AND(Daten!$AA491&lt;=KINVARO!$AW$4,Daten!$AB491&gt;=KINVARO!$AW$4)=TRUE,1,0)</f>
        <v>0</v>
      </c>
      <c r="R491" s="192"/>
      <c r="S491" s="192">
        <f>IF(AND(Daten!$AD491&lt;=Limits!$I$70,Daten!$AE491&gt;=Limits!$I$70)=TRUE,1,0)</f>
        <v>0</v>
      </c>
      <c r="T491" s="193">
        <f ca="1">IF(Daten!$Y491=Sprache!$A$135,1,0)</f>
        <v>0</v>
      </c>
      <c r="U491" s="124" t="str">
        <f ca="1">Sprache!$A$67</f>
        <v>T-70 Поворотный подъемник</v>
      </c>
      <c r="V491" s="194">
        <v>16</v>
      </c>
      <c r="W491" s="193">
        <v>16</v>
      </c>
      <c r="X491" s="187" t="str">
        <f ca="1">Sprache!$A$141</f>
        <v>Alu</v>
      </c>
      <c r="Y491" s="187" t="str">
        <f ca="1">Sprache!$A$136</f>
        <v>nein</v>
      </c>
      <c r="Z491" s="187" t="str">
        <f ca="1">Sprache!$A$79</f>
        <v>Створка</v>
      </c>
      <c r="AA491" s="187">
        <v>500</v>
      </c>
      <c r="AB491" s="124">
        <v>549</v>
      </c>
      <c r="AC491" s="187"/>
      <c r="AD491" s="195">
        <v>1.8</v>
      </c>
      <c r="AE491" s="196">
        <v>5</v>
      </c>
      <c r="AF491" s="263" t="str">
        <f>MID(Tabelle2[[#This Row],[bnr full]],1,4)</f>
        <v>F151</v>
      </c>
      <c r="AG491" s="264" t="str">
        <f>MID(Tabelle2[[#This Row],[bnr full]],5,3)</f>
        <v>147</v>
      </c>
      <c r="AH491" s="265" t="str">
        <f>MID(Tabelle2[[#This Row],[bnr full]],8,3)</f>
        <v>809</v>
      </c>
      <c r="AI491" s="264" t="str">
        <f>MID(Tabelle2[[#This Row],[bnr full]],11,3)</f>
        <v>201</v>
      </c>
      <c r="AJ491" s="252" t="str">
        <f>MID(Tabelle2[[#This Row],[bnr full]],11,3)</f>
        <v>201</v>
      </c>
      <c r="AK491" s="197" t="s">
        <v>1665</v>
      </c>
      <c r="AL491" s="124" t="str">
        <f ca="1">Sprache!$A$111</f>
        <v>Комплект (Л + П)</v>
      </c>
      <c r="AM491" s="187" t="s">
        <v>25</v>
      </c>
      <c r="AN491" s="187" t="str">
        <f ca="1">Sprache!$A$128</f>
        <v>Пружина, оранжевая</v>
      </c>
      <c r="AO491" s="187" t="s">
        <v>25</v>
      </c>
      <c r="AP491" s="187" t="s">
        <v>25</v>
      </c>
      <c r="AQ491" s="187">
        <f>Limits!$K$9</f>
        <v>200</v>
      </c>
      <c r="AR491" s="124">
        <v>1200</v>
      </c>
      <c r="AS491" s="187"/>
      <c r="AT491" s="124"/>
      <c r="AV491"/>
      <c r="AX491" s="10"/>
      <c r="AY491" s="11"/>
      <c r="AZ491" s="2"/>
      <c r="BC491"/>
    </row>
    <row r="492" spans="1:55" hidden="1" x14ac:dyDescent="0.25">
      <c r="A492" s="12" t="str">
        <f ca="1">IF(F492+G492+H492+I492+J492+D492+E492=3,IF(Tabelle2[[#This Row],[Kappe Weiß]]=Limits!$R$29,1,""),"")</f>
        <v/>
      </c>
      <c r="B492" s="12" t="str">
        <f ca="1">IF(G492+H492+I492+J492+E492+F492=2,IF(Tabelle2[[#This Row],[Kappe Weiß]]=Limits!$R$29,1,""),"")</f>
        <v/>
      </c>
      <c r="C492" s="291">
        <v>1</v>
      </c>
      <c r="D492" s="171">
        <f>IF(Limits!$P$7=TRUE,1,0)</f>
        <v>0</v>
      </c>
      <c r="E492" s="172">
        <f>IF(Daten!$P492+Daten!$Q492+Daten!$S492=3,1,0)</f>
        <v>0</v>
      </c>
      <c r="F492" s="173">
        <f ca="1">IF(AND(Limits!$Q$21=TRUE,Daten!O492=1)=TRUE,1,0)</f>
        <v>0</v>
      </c>
      <c r="G492" s="174">
        <f>IF(AND(Limits!$Q$25=TRUE,Daten!N492=1)=TRUE,1,0)</f>
        <v>0</v>
      </c>
      <c r="H492" s="174">
        <f>IF(AND(Limits!$Q$24=TRUE,Daten!M492=1)=TRUE,1,0)</f>
        <v>0</v>
      </c>
      <c r="I492" s="174">
        <f>IF(AND(Limits!$Q$23=TRUE,Daten!L492=1)=TRUE,1,0)</f>
        <v>0</v>
      </c>
      <c r="J492" s="174">
        <f>IF(AND(Limits!$Q$22=TRUE,Daten!K492=1)=TRUE,1,0)</f>
        <v>0</v>
      </c>
      <c r="K492" s="188">
        <f>IF(Daten!$V492=13,1,0)</f>
        <v>0</v>
      </c>
      <c r="L492" s="189">
        <f>IF(Daten!$V492&lt;&gt;Daten!$W492,1,IF(Daten!$V492=14,1,0))</f>
        <v>0</v>
      </c>
      <c r="M492" s="189">
        <f>IF(Daten!$V492&lt;&gt;Daten!$W492,1,IF(Daten!$V492=16,1,0))</f>
        <v>0</v>
      </c>
      <c r="N492" s="189">
        <f>IF(Daten!$W492=17,1,0)</f>
        <v>1</v>
      </c>
      <c r="O492" s="190">
        <f ca="1">IF(Daten!$X492=Sprache!$A$70,1,0)</f>
        <v>0</v>
      </c>
      <c r="P492" s="191">
        <f>IF(AND(Daten!$AQ492&lt;=KINVARO!$AW$3,Daten!$AR492&gt;=KINVARO!$AW$3)=TRUE,1,0)</f>
        <v>1</v>
      </c>
      <c r="Q492" s="192">
        <f>IF(AND(Daten!$AA492&lt;=KINVARO!$AW$4,Daten!$AB492&gt;=KINVARO!$AW$4)=TRUE,1,0)</f>
        <v>0</v>
      </c>
      <c r="R492" s="192"/>
      <c r="S492" s="192">
        <f>IF(AND(Daten!$AD492&lt;=Limits!$I$70,Daten!$AE492&gt;=Limits!$I$70)=TRUE,1,0)</f>
        <v>0</v>
      </c>
      <c r="T492" s="193">
        <f ca="1">IF(Daten!$Y492=Sprache!$A$135,1,0)</f>
        <v>0</v>
      </c>
      <c r="U492" s="124" t="str">
        <f ca="1">Sprache!$A$67</f>
        <v>T-70 Поворотный подъемник</v>
      </c>
      <c r="V492" s="194">
        <v>17</v>
      </c>
      <c r="W492" s="193">
        <v>17</v>
      </c>
      <c r="X492" s="187" t="str">
        <f ca="1">Sprache!$A$141</f>
        <v>Alu</v>
      </c>
      <c r="Y492" s="187" t="str">
        <f ca="1">Sprache!$A$136</f>
        <v>nein</v>
      </c>
      <c r="Z492" s="187" t="str">
        <f ca="1">Sprache!$A$79</f>
        <v>Створка</v>
      </c>
      <c r="AA492" s="187">
        <v>500</v>
      </c>
      <c r="AB492" s="124">
        <v>549</v>
      </c>
      <c r="AC492" s="187"/>
      <c r="AD492" s="195">
        <v>1.5</v>
      </c>
      <c r="AE492" s="196">
        <v>4</v>
      </c>
      <c r="AF492" s="263" t="str">
        <f>MID(Tabelle2[[#This Row],[bnr full]],1,4)</f>
        <v>F151</v>
      </c>
      <c r="AG492" s="264" t="str">
        <f>MID(Tabelle2[[#This Row],[bnr full]],5,3)</f>
        <v>147</v>
      </c>
      <c r="AH492" s="265" t="str">
        <f>MID(Tabelle2[[#This Row],[bnr full]],8,3)</f>
        <v>810</v>
      </c>
      <c r="AI492" s="264" t="str">
        <f>MID(Tabelle2[[#This Row],[bnr full]],11,3)</f>
        <v>201</v>
      </c>
      <c r="AJ492" s="252" t="str">
        <f>MID(Tabelle2[[#This Row],[bnr full]],11,3)</f>
        <v>201</v>
      </c>
      <c r="AK492" s="197" t="s">
        <v>1666</v>
      </c>
      <c r="AL492" s="124" t="str">
        <f ca="1">Sprache!$A$111</f>
        <v>Комплект (Л + П)</v>
      </c>
      <c r="AM492" s="187" t="s">
        <v>25</v>
      </c>
      <c r="AN492" s="187" t="str">
        <f ca="1">Sprache!$A$127</f>
        <v>Пружина, белая</v>
      </c>
      <c r="AO492" s="187" t="s">
        <v>25</v>
      </c>
      <c r="AP492" s="187" t="s">
        <v>25</v>
      </c>
      <c r="AQ492" s="187">
        <f>Limits!$K$9</f>
        <v>200</v>
      </c>
      <c r="AR492" s="124">
        <v>1200</v>
      </c>
      <c r="AS492" s="187"/>
      <c r="AT492" s="124"/>
      <c r="AV492"/>
      <c r="AX492" s="10"/>
      <c r="AY492" s="11"/>
      <c r="AZ492" s="2"/>
      <c r="BC492"/>
    </row>
    <row r="493" spans="1:55" hidden="1" x14ac:dyDescent="0.25">
      <c r="A493" s="12" t="str">
        <f ca="1">IF(F493+G493+H493+I493+J493+D493+E493=3,IF(Tabelle2[[#This Row],[Kappe Weiß]]=Limits!$R$29,1,""),"")</f>
        <v/>
      </c>
      <c r="B493" s="12" t="str">
        <f ca="1">IF(G493+H493+I493+J493+E493+F493=2,IF(Tabelle2[[#This Row],[Kappe Weiß]]=Limits!$R$29,1,""),"")</f>
        <v/>
      </c>
      <c r="C493" s="291">
        <v>1</v>
      </c>
      <c r="D493" s="171">
        <f>IF(Limits!$P$7=TRUE,1,0)</f>
        <v>0</v>
      </c>
      <c r="E493" s="172">
        <f>IF(Daten!$P493+Daten!$Q493+Daten!$S493=3,1,0)</f>
        <v>0</v>
      </c>
      <c r="F493" s="173">
        <f ca="1">IF(AND(Limits!$Q$21=TRUE,Daten!O493=1)=TRUE,1,0)</f>
        <v>0</v>
      </c>
      <c r="G493" s="174">
        <f>IF(AND(Limits!$Q$25=TRUE,Daten!N493=1)=TRUE,1,0)</f>
        <v>0</v>
      </c>
      <c r="H493" s="174">
        <f>IF(AND(Limits!$Q$24=TRUE,Daten!M493=1)=TRUE,1,0)</f>
        <v>0</v>
      </c>
      <c r="I493" s="174">
        <f>IF(AND(Limits!$Q$23=TRUE,Daten!L493=1)=TRUE,1,0)</f>
        <v>0</v>
      </c>
      <c r="J493" s="174">
        <f>IF(AND(Limits!$Q$22=TRUE,Daten!K493=1)=TRUE,1,0)</f>
        <v>0</v>
      </c>
      <c r="K493" s="188">
        <f>IF(Daten!$V493=13,1,0)</f>
        <v>0</v>
      </c>
      <c r="L493" s="189">
        <f>IF(Daten!$V493&lt;&gt;Daten!$W493,1,IF(Daten!$V493=14,1,0))</f>
        <v>0</v>
      </c>
      <c r="M493" s="189">
        <f>IF(Daten!$V493&lt;&gt;Daten!$W493,1,IF(Daten!$V493=16,1,0))</f>
        <v>0</v>
      </c>
      <c r="N493" s="189">
        <f>IF(Daten!$W493=17,1,0)</f>
        <v>1</v>
      </c>
      <c r="O493" s="190">
        <f ca="1">IF(Daten!$X493=Sprache!$A$70,1,0)</f>
        <v>0</v>
      </c>
      <c r="P493" s="191">
        <f>IF(AND(Daten!$AQ493&lt;=KINVARO!$AW$3,Daten!$AR493&gt;=KINVARO!$AW$3)=TRUE,1,0)</f>
        <v>1</v>
      </c>
      <c r="Q493" s="192">
        <f>IF(AND(Daten!$AA493&lt;=KINVARO!$AW$4,Daten!$AB493&gt;=KINVARO!$AW$4)=TRUE,1,0)</f>
        <v>0</v>
      </c>
      <c r="R493" s="192"/>
      <c r="S493" s="192">
        <f>IF(AND(Daten!$AD493&lt;=Limits!$I$70,Daten!$AE493&gt;=Limits!$I$70)=TRUE,1,0)</f>
        <v>0</v>
      </c>
      <c r="T493" s="193">
        <f ca="1">IF(Daten!$Y493=Sprache!$A$135,1,0)</f>
        <v>0</v>
      </c>
      <c r="U493" s="124" t="str">
        <f ca="1">Sprache!$A$67</f>
        <v>T-70 Поворотный подъемник</v>
      </c>
      <c r="V493" s="194">
        <v>17</v>
      </c>
      <c r="W493" s="193">
        <v>17</v>
      </c>
      <c r="X493" s="187" t="str">
        <f ca="1">Sprache!$A$141</f>
        <v>Alu</v>
      </c>
      <c r="Y493" s="187" t="str">
        <f ca="1">Sprache!$A$136</f>
        <v>nein</v>
      </c>
      <c r="Z493" s="187" t="str">
        <f ca="1">Sprache!$A$79</f>
        <v>Створка</v>
      </c>
      <c r="AA493" s="187">
        <v>500</v>
      </c>
      <c r="AB493" s="124">
        <v>549</v>
      </c>
      <c r="AC493" s="187"/>
      <c r="AD493" s="195">
        <v>1.8</v>
      </c>
      <c r="AE493" s="196">
        <v>5</v>
      </c>
      <c r="AF493" s="263" t="str">
        <f>MID(Tabelle2[[#This Row],[bnr full]],1,4)</f>
        <v>F151</v>
      </c>
      <c r="AG493" s="264" t="str">
        <f>MID(Tabelle2[[#This Row],[bnr full]],5,3)</f>
        <v>147</v>
      </c>
      <c r="AH493" s="265" t="str">
        <f>MID(Tabelle2[[#This Row],[bnr full]],8,3)</f>
        <v>810</v>
      </c>
      <c r="AI493" s="264" t="str">
        <f>MID(Tabelle2[[#This Row],[bnr full]],11,3)</f>
        <v>201</v>
      </c>
      <c r="AJ493" s="252" t="str">
        <f>MID(Tabelle2[[#This Row],[bnr full]],11,3)</f>
        <v>201</v>
      </c>
      <c r="AK493" s="197" t="s">
        <v>1666</v>
      </c>
      <c r="AL493" s="124" t="str">
        <f ca="1">Sprache!$A$111</f>
        <v>Комплект (Л + П)</v>
      </c>
      <c r="AM493" s="187" t="s">
        <v>25</v>
      </c>
      <c r="AN493" s="187" t="str">
        <f ca="1">Sprache!$A$128</f>
        <v>Пружина, оранжевая</v>
      </c>
      <c r="AO493" s="187" t="s">
        <v>25</v>
      </c>
      <c r="AP493" s="187" t="s">
        <v>25</v>
      </c>
      <c r="AQ493" s="187">
        <f>Limits!$K$9</f>
        <v>200</v>
      </c>
      <c r="AR493" s="124">
        <v>1200</v>
      </c>
      <c r="AS493" s="187"/>
      <c r="AT493" s="124"/>
      <c r="AV493"/>
      <c r="AX493" s="10"/>
      <c r="AY493" s="11"/>
      <c r="AZ493" s="2"/>
      <c r="BC493"/>
    </row>
    <row r="494" spans="1:55" hidden="1" x14ac:dyDescent="0.25">
      <c r="A494" s="12" t="str">
        <f ca="1">IF(F494+G494+H494+I494+J494+D494+E494=3,IF(Tabelle2[[#This Row],[Kappe Weiß]]=Limits!$R$29,1,""),"")</f>
        <v/>
      </c>
      <c r="B494" s="12" t="str">
        <f ca="1">IF(G494+H494+I494+J494+E494+F494=2,IF(Tabelle2[[#This Row],[Kappe Weiß]]=Limits!$R$29,1,""),"")</f>
        <v/>
      </c>
      <c r="C494" s="292">
        <v>1</v>
      </c>
      <c r="D494" s="171">
        <f>IF(Limits!$P$7=TRUE,1,0)</f>
        <v>0</v>
      </c>
      <c r="E494" s="172">
        <f>IF(Daten!$P494+Daten!$Q494+Daten!$S494=3,1,0)</f>
        <v>0</v>
      </c>
      <c r="F494" s="173">
        <f ca="1">IF(AND(Limits!$Q$21=TRUE,Daten!O494=1)=TRUE,1,0)</f>
        <v>1</v>
      </c>
      <c r="G494" s="174">
        <f ca="1">IF(AND(Limits!$Q$25=TRUE,Daten!N494=1)=TRUE,1,0)</f>
        <v>0</v>
      </c>
      <c r="H494" s="174">
        <f ca="1">IF(AND(Limits!$Q$24=TRUE,Daten!M494=1)=TRUE,1,0)</f>
        <v>0</v>
      </c>
      <c r="I494" s="174">
        <f ca="1">IF(AND(Limits!$Q$23=TRUE,Daten!L494=1)=TRUE,1,0)</f>
        <v>0</v>
      </c>
      <c r="J494" s="174">
        <f ca="1">IF(AND(Limits!$Q$22=TRUE,Daten!K494=1)=TRUE,1,0)</f>
        <v>0</v>
      </c>
      <c r="K494" s="188">
        <f ca="1">IF(Daten!$V494=13,1,0)</f>
        <v>0</v>
      </c>
      <c r="L494" s="189">
        <f ca="1">IF(Daten!$V494&lt;&gt;Daten!$W494,1,IF(Daten!$V494=14,1,0))</f>
        <v>0</v>
      </c>
      <c r="M494" s="189">
        <f ca="1">IF(Daten!$V494&lt;&gt;Daten!$W494,1,IF(Daten!$V494=16,1,0))</f>
        <v>0</v>
      </c>
      <c r="N494" s="189">
        <f ca="1">IF(Daten!$W494=17,1,0)</f>
        <v>0</v>
      </c>
      <c r="O494" s="190">
        <f ca="1">IF(Daten!$X494=Sprache!$A$70,1,0)</f>
        <v>1</v>
      </c>
      <c r="P494" s="198">
        <f>IF(AND(Daten!$AQ494&lt;=KINVARO!$AW$3,Daten!$AR494&gt;=KINVARO!$AW$3)=TRUE,1,0)</f>
        <v>1</v>
      </c>
      <c r="Q494" s="199">
        <f>IF(AND(Daten!$AA494&lt;=KINVARO!$AW$4,Daten!$AB494&gt;=KINVARO!$AW$4)=TRUE,1,0)</f>
        <v>0</v>
      </c>
      <c r="R494" s="199"/>
      <c r="S494" s="199">
        <f>IF(AND(Daten!$AD494&lt;=Limits!$I$70,Daten!$AE494&gt;=Limits!$I$70)=TRUE,1,0)</f>
        <v>0</v>
      </c>
      <c r="T494" s="200">
        <f ca="1">IF(Daten!$Y494=Sprache!$A$135,1,0)</f>
        <v>0</v>
      </c>
      <c r="U494" s="201" t="str">
        <f ca="1">Sprache!$A$67</f>
        <v>T-70 Поворотный подъемник</v>
      </c>
      <c r="V494" s="202" t="str">
        <f ca="1">Sprache!$A$74</f>
        <v>var</v>
      </c>
      <c r="W494" s="200" t="str">
        <f ca="1">Sprache!$A$74</f>
        <v>var</v>
      </c>
      <c r="X494" s="203" t="str">
        <f ca="1">Sprache!$A$70</f>
        <v>соединение с древесиной</v>
      </c>
      <c r="Y494" s="187" t="str">
        <f ca="1">Sprache!$A$136</f>
        <v>nein</v>
      </c>
      <c r="Z494" s="203" t="str">
        <f ca="1">Sprache!$A$79</f>
        <v>Створка</v>
      </c>
      <c r="AA494" s="203">
        <v>550</v>
      </c>
      <c r="AB494" s="201">
        <v>599</v>
      </c>
      <c r="AC494" s="203"/>
      <c r="AD494" s="204">
        <v>1.4</v>
      </c>
      <c r="AE494" s="205">
        <v>3.7</v>
      </c>
      <c r="AF494" s="266" t="str">
        <f>MID(Tabelle2[[#This Row],[bnr full]],1,4)</f>
        <v>F151</v>
      </c>
      <c r="AG494" s="267" t="str">
        <f>MID(Tabelle2[[#This Row],[bnr full]],5,3)</f>
        <v>147</v>
      </c>
      <c r="AH494" s="268" t="str">
        <f>MID(Tabelle2[[#This Row],[bnr full]],8,3)</f>
        <v>693</v>
      </c>
      <c r="AI494" s="267" t="str">
        <f>MID(Tabelle2[[#This Row],[bnr full]],11,3)</f>
        <v>201</v>
      </c>
      <c r="AJ494" s="253" t="str">
        <f>MID(Tabelle2[[#This Row],[bnr full]],11,3)</f>
        <v>201</v>
      </c>
      <c r="AK494" s="206" t="s">
        <v>1662</v>
      </c>
      <c r="AL494" s="201" t="str">
        <f ca="1">Sprache!$A$111</f>
        <v>Комплект (Л + П)</v>
      </c>
      <c r="AM494" s="203" t="s">
        <v>25</v>
      </c>
      <c r="AN494" s="203" t="str">
        <f ca="1">Sprache!$A$127</f>
        <v>Пружина, белая</v>
      </c>
      <c r="AO494" s="187" t="s">
        <v>25</v>
      </c>
      <c r="AP494" s="187" t="s">
        <v>25</v>
      </c>
      <c r="AQ494" s="203">
        <f>Limits!$K$9</f>
        <v>200</v>
      </c>
      <c r="AR494" s="201">
        <v>1200</v>
      </c>
      <c r="AS494" s="187"/>
      <c r="AT494" s="124"/>
      <c r="AV494"/>
      <c r="AX494" s="10"/>
      <c r="AY494" s="11"/>
      <c r="AZ494" s="2"/>
      <c r="BC494"/>
    </row>
    <row r="495" spans="1:55" hidden="1" x14ac:dyDescent="0.25">
      <c r="A495" s="12" t="str">
        <f ca="1">IF(F495+G495+H495+I495+J495+D495+E495=3,IF(Tabelle2[[#This Row],[Kappe Weiß]]=Limits!$R$29,1,""),"")</f>
        <v/>
      </c>
      <c r="B495" s="12" t="str">
        <f ca="1">IF(G495+H495+I495+J495+E495+F495=2,IF(Tabelle2[[#This Row],[Kappe Weiß]]=Limits!$R$29,1,""),"")</f>
        <v/>
      </c>
      <c r="C495" s="291">
        <v>1</v>
      </c>
      <c r="D495" s="171">
        <f>IF(Limits!$P$7=TRUE,1,0)</f>
        <v>0</v>
      </c>
      <c r="E495" s="172">
        <f>IF(Daten!$P495+Daten!$Q495+Daten!$S495=3,1,0)</f>
        <v>0</v>
      </c>
      <c r="F495" s="173">
        <f ca="1">IF(AND(Limits!$Q$21=TRUE,Daten!O495=1)=TRUE,1,0)</f>
        <v>1</v>
      </c>
      <c r="G495" s="174">
        <f ca="1">IF(AND(Limits!$Q$25=TRUE,Daten!N495=1)=TRUE,1,0)</f>
        <v>0</v>
      </c>
      <c r="H495" s="174">
        <f ca="1">IF(AND(Limits!$Q$24=TRUE,Daten!M495=1)=TRUE,1,0)</f>
        <v>0</v>
      </c>
      <c r="I495" s="174">
        <f ca="1">IF(AND(Limits!$Q$23=TRUE,Daten!L495=1)=TRUE,1,0)</f>
        <v>0</v>
      </c>
      <c r="J495" s="174">
        <f ca="1">IF(AND(Limits!$Q$22=TRUE,Daten!K495=1)=TRUE,1,0)</f>
        <v>0</v>
      </c>
      <c r="K495" s="188">
        <f ca="1">IF(Daten!$V495=13,1,0)</f>
        <v>0</v>
      </c>
      <c r="L495" s="189">
        <f ca="1">IF(Daten!$V495&lt;&gt;Daten!$W495,1,IF(Daten!$V495=14,1,0))</f>
        <v>0</v>
      </c>
      <c r="M495" s="189">
        <f ca="1">IF(Daten!$V495&lt;&gt;Daten!$W495,1,IF(Daten!$V495=16,1,0))</f>
        <v>0</v>
      </c>
      <c r="N495" s="189">
        <f ca="1">IF(Daten!$W495=17,1,0)</f>
        <v>0</v>
      </c>
      <c r="O495" s="190">
        <f ca="1">IF(Daten!$X495=Sprache!$A$70,1,0)</f>
        <v>1</v>
      </c>
      <c r="P495" s="191">
        <f>IF(AND(Daten!$AQ495&lt;=KINVARO!$AW$3,Daten!$AR495&gt;=KINVARO!$AW$3)=TRUE,1,0)</f>
        <v>1</v>
      </c>
      <c r="Q495" s="192">
        <f>IF(AND(Daten!$AA495&lt;=KINVARO!$AW$4,Daten!$AB495&gt;=KINVARO!$AW$4)=TRUE,1,0)</f>
        <v>0</v>
      </c>
      <c r="R495" s="192"/>
      <c r="S495" s="192">
        <f>IF(AND(Daten!$AD495&lt;=Limits!$I$70,Daten!$AE495&gt;=Limits!$I$70)=TRUE,1,0)</f>
        <v>0</v>
      </c>
      <c r="T495" s="193">
        <f ca="1">IF(Daten!$Y495=Sprache!$A$135,1,0)</f>
        <v>0</v>
      </c>
      <c r="U495" s="124" t="str">
        <f ca="1">Sprache!$A$67</f>
        <v>T-70 Поворотный подъемник</v>
      </c>
      <c r="V495" s="194" t="str">
        <f ca="1">Sprache!$A$74</f>
        <v>var</v>
      </c>
      <c r="W495" s="193" t="str">
        <f ca="1">Sprache!$A$74</f>
        <v>var</v>
      </c>
      <c r="X495" s="187" t="str">
        <f ca="1">Sprache!$A$70</f>
        <v>соединение с древесиной</v>
      </c>
      <c r="Y495" s="187" t="str">
        <f ca="1">Sprache!$A$136</f>
        <v>nein</v>
      </c>
      <c r="Z495" s="187" t="str">
        <f ca="1">Sprache!$A$79</f>
        <v>Створка</v>
      </c>
      <c r="AA495" s="187">
        <v>550</v>
      </c>
      <c r="AB495" s="124">
        <v>599</v>
      </c>
      <c r="AC495" s="187"/>
      <c r="AD495" s="195">
        <v>1.6</v>
      </c>
      <c r="AE495" s="196">
        <v>4.5999999999999996</v>
      </c>
      <c r="AF495" s="263" t="str">
        <f>MID(Tabelle2[[#This Row],[bnr full]],1,4)</f>
        <v>F151</v>
      </c>
      <c r="AG495" s="264" t="str">
        <f>MID(Tabelle2[[#This Row],[bnr full]],5,3)</f>
        <v>147</v>
      </c>
      <c r="AH495" s="265" t="str">
        <f>MID(Tabelle2[[#This Row],[bnr full]],8,3)</f>
        <v>693</v>
      </c>
      <c r="AI495" s="264" t="str">
        <f>MID(Tabelle2[[#This Row],[bnr full]],11,3)</f>
        <v>201</v>
      </c>
      <c r="AJ495" s="252" t="str">
        <f>MID(Tabelle2[[#This Row],[bnr full]],11,3)</f>
        <v>201</v>
      </c>
      <c r="AK495" s="197" t="s">
        <v>1662</v>
      </c>
      <c r="AL495" s="124" t="str">
        <f ca="1">Sprache!$A$111</f>
        <v>Комплект (Л + П)</v>
      </c>
      <c r="AM495" s="187" t="s">
        <v>25</v>
      </c>
      <c r="AN495" s="187" t="str">
        <f ca="1">Sprache!$A$128</f>
        <v>Пружина, оранжевая</v>
      </c>
      <c r="AO495" s="187" t="s">
        <v>25</v>
      </c>
      <c r="AP495" s="187" t="s">
        <v>25</v>
      </c>
      <c r="AQ495" s="187">
        <f>Limits!$K$9</f>
        <v>200</v>
      </c>
      <c r="AR495" s="124">
        <v>1200</v>
      </c>
      <c r="AS495" s="187"/>
      <c r="AT495" s="124"/>
      <c r="AV495"/>
      <c r="AX495" s="10"/>
      <c r="AY495" s="11"/>
      <c r="AZ495" s="2"/>
      <c r="BC495"/>
    </row>
    <row r="496" spans="1:55" hidden="1" x14ac:dyDescent="0.25">
      <c r="A496" s="12" t="str">
        <f ca="1">IF(F496+G496+H496+I496+J496+D496+E496=3,IF(Tabelle2[[#This Row],[Kappe Weiß]]=Limits!$R$29,1,""),"")</f>
        <v/>
      </c>
      <c r="B496" s="12" t="str">
        <f ca="1">IF(G496+H496+I496+J496+E496+F496=2,IF(Tabelle2[[#This Row],[Kappe Weiß]]=Limits!$R$29,1,""),"")</f>
        <v/>
      </c>
      <c r="C496" s="291">
        <v>1</v>
      </c>
      <c r="D496" s="171">
        <f>IF(Limits!$P$7=TRUE,1,0)</f>
        <v>0</v>
      </c>
      <c r="E496" s="172">
        <f>IF(Daten!$P496+Daten!$Q496+Daten!$S496=3,1,0)</f>
        <v>0</v>
      </c>
      <c r="F496" s="173">
        <f ca="1">IF(AND(Limits!$Q$21=TRUE,Daten!O496=1)=TRUE,1,0)</f>
        <v>0</v>
      </c>
      <c r="G496" s="174">
        <f>IF(AND(Limits!$Q$25=TRUE,Daten!N496=1)=TRUE,1,0)</f>
        <v>0</v>
      </c>
      <c r="H496" s="174">
        <f>IF(AND(Limits!$Q$24=TRUE,Daten!M496=1)=TRUE,1,0)</f>
        <v>0</v>
      </c>
      <c r="I496" s="174">
        <f>IF(AND(Limits!$Q$23=TRUE,Daten!L496=1)=TRUE,1,0)</f>
        <v>0</v>
      </c>
      <c r="J496" s="174">
        <f>IF(AND(Limits!$Q$22=TRUE,Daten!K496=1)=TRUE,1,0)</f>
        <v>0</v>
      </c>
      <c r="K496" s="188">
        <f>IF(Daten!$V496=13,1,0)</f>
        <v>1</v>
      </c>
      <c r="L496" s="189">
        <f>IF(Daten!$V496&lt;&gt;Daten!$W496,1,IF(Daten!$V496=14,1,0))</f>
        <v>0</v>
      </c>
      <c r="M496" s="189">
        <f>IF(Daten!$V496&lt;&gt;Daten!$W496,1,IF(Daten!$V496=16,1,0))</f>
        <v>0</v>
      </c>
      <c r="N496" s="189">
        <f>IF(Daten!$W496=17,1,0)</f>
        <v>0</v>
      </c>
      <c r="O496" s="190">
        <f ca="1">IF(Daten!$X496=Sprache!$A$70,1,0)</f>
        <v>0</v>
      </c>
      <c r="P496" s="191">
        <f>IF(AND(Daten!$AQ496&lt;=KINVARO!$AW$3,Daten!$AR496&gt;=KINVARO!$AW$3)=TRUE,1,0)</f>
        <v>1</v>
      </c>
      <c r="Q496" s="192">
        <f>IF(AND(Daten!$AA496&lt;=KINVARO!$AW$4,Daten!$AB496&gt;=KINVARO!$AW$4)=TRUE,1,0)</f>
        <v>0</v>
      </c>
      <c r="R496" s="192"/>
      <c r="S496" s="192">
        <f>IF(AND(Daten!$AD496&lt;=Limits!$I$70,Daten!$AE496&gt;=Limits!$I$70)=TRUE,1,0)</f>
        <v>0</v>
      </c>
      <c r="T496" s="193">
        <f ca="1">IF(Daten!$Y496=Sprache!$A$135,1,0)</f>
        <v>0</v>
      </c>
      <c r="U496" s="124" t="str">
        <f ca="1">Sprache!$A$67</f>
        <v>T-70 Поворотный подъемник</v>
      </c>
      <c r="V496" s="194">
        <v>13</v>
      </c>
      <c r="W496" s="193">
        <v>13</v>
      </c>
      <c r="X496" s="187" t="str">
        <f ca="1">Sprache!$A$141</f>
        <v>Alu</v>
      </c>
      <c r="Y496" s="187" t="str">
        <f ca="1">Sprache!$A$136</f>
        <v>nein</v>
      </c>
      <c r="Z496" s="187" t="str">
        <f ca="1">Sprache!$A$79</f>
        <v>Створка</v>
      </c>
      <c r="AA496" s="187">
        <v>550</v>
      </c>
      <c r="AB496" s="124">
        <v>599</v>
      </c>
      <c r="AC496" s="187"/>
      <c r="AD496" s="195">
        <v>1.4</v>
      </c>
      <c r="AE496" s="196">
        <v>3.7</v>
      </c>
      <c r="AF496" s="263" t="str">
        <f>MID(Tabelle2[[#This Row],[bnr full]],1,4)</f>
        <v>F151</v>
      </c>
      <c r="AG496" s="264" t="str">
        <f>MID(Tabelle2[[#This Row],[bnr full]],5,3)</f>
        <v>147</v>
      </c>
      <c r="AH496" s="265" t="str">
        <f>MID(Tabelle2[[#This Row],[bnr full]],8,3)</f>
        <v>807</v>
      </c>
      <c r="AI496" s="264" t="str">
        <f>MID(Tabelle2[[#This Row],[bnr full]],11,3)</f>
        <v>201</v>
      </c>
      <c r="AJ496" s="252" t="str">
        <f>MID(Tabelle2[[#This Row],[bnr full]],11,3)</f>
        <v>201</v>
      </c>
      <c r="AK496" s="197" t="s">
        <v>1663</v>
      </c>
      <c r="AL496" s="124" t="str">
        <f ca="1">Sprache!$A$111</f>
        <v>Комплект (Л + П)</v>
      </c>
      <c r="AM496" s="187" t="s">
        <v>25</v>
      </c>
      <c r="AN496" s="187" t="str">
        <f ca="1">Sprache!$A$127</f>
        <v>Пружина, белая</v>
      </c>
      <c r="AO496" s="187" t="s">
        <v>25</v>
      </c>
      <c r="AP496" s="187" t="s">
        <v>25</v>
      </c>
      <c r="AQ496" s="187">
        <f>Limits!$K$9</f>
        <v>200</v>
      </c>
      <c r="AR496" s="124">
        <v>1200</v>
      </c>
      <c r="AS496" s="187"/>
      <c r="AT496" s="124"/>
      <c r="AV496"/>
      <c r="AX496" s="10"/>
      <c r="AY496" s="11"/>
      <c r="AZ496" s="2"/>
      <c r="BC496"/>
    </row>
    <row r="497" spans="1:55" hidden="1" x14ac:dyDescent="0.25">
      <c r="A497" s="12" t="str">
        <f ca="1">IF(F497+G497+H497+I497+J497+D497+E497=3,IF(Tabelle2[[#This Row],[Kappe Weiß]]=Limits!$R$29,1,""),"")</f>
        <v/>
      </c>
      <c r="B497" s="12" t="str">
        <f ca="1">IF(G497+H497+I497+J497+E497+F497=2,IF(Tabelle2[[#This Row],[Kappe Weiß]]=Limits!$R$29,1,""),"")</f>
        <v/>
      </c>
      <c r="C497" s="291">
        <v>1</v>
      </c>
      <c r="D497" s="171">
        <f>IF(Limits!$P$7=TRUE,1,0)</f>
        <v>0</v>
      </c>
      <c r="E497" s="172">
        <f>IF(Daten!$P497+Daten!$Q497+Daten!$S497=3,1,0)</f>
        <v>0</v>
      </c>
      <c r="F497" s="173">
        <f ca="1">IF(AND(Limits!$Q$21=TRUE,Daten!O497=1)=TRUE,1,0)</f>
        <v>0</v>
      </c>
      <c r="G497" s="174">
        <f>IF(AND(Limits!$Q$25=TRUE,Daten!N497=1)=TRUE,1,0)</f>
        <v>0</v>
      </c>
      <c r="H497" s="174">
        <f>IF(AND(Limits!$Q$24=TRUE,Daten!M497=1)=TRUE,1,0)</f>
        <v>0</v>
      </c>
      <c r="I497" s="174">
        <f>IF(AND(Limits!$Q$23=TRUE,Daten!L497=1)=TRUE,1,0)</f>
        <v>0</v>
      </c>
      <c r="J497" s="174">
        <f>IF(AND(Limits!$Q$22=TRUE,Daten!K497=1)=TRUE,1,0)</f>
        <v>0</v>
      </c>
      <c r="K497" s="188">
        <f>IF(Daten!$V497=13,1,0)</f>
        <v>1</v>
      </c>
      <c r="L497" s="189">
        <f>IF(Daten!$V497&lt;&gt;Daten!$W497,1,IF(Daten!$V497=14,1,0))</f>
        <v>0</v>
      </c>
      <c r="M497" s="189">
        <f>IF(Daten!$V497&lt;&gt;Daten!$W497,1,IF(Daten!$V497=16,1,0))</f>
        <v>0</v>
      </c>
      <c r="N497" s="189">
        <f>IF(Daten!$W497=17,1,0)</f>
        <v>0</v>
      </c>
      <c r="O497" s="190">
        <f ca="1">IF(Daten!$X497=Sprache!$A$70,1,0)</f>
        <v>0</v>
      </c>
      <c r="P497" s="191">
        <f>IF(AND(Daten!$AQ497&lt;=KINVARO!$AW$3,Daten!$AR497&gt;=KINVARO!$AW$3)=TRUE,1,0)</f>
        <v>1</v>
      </c>
      <c r="Q497" s="192">
        <f>IF(AND(Daten!$AA497&lt;=KINVARO!$AW$4,Daten!$AB497&gt;=KINVARO!$AW$4)=TRUE,1,0)</f>
        <v>0</v>
      </c>
      <c r="R497" s="192"/>
      <c r="S497" s="192">
        <f>IF(AND(Daten!$AD497&lt;=Limits!$I$70,Daten!$AE497&gt;=Limits!$I$70)=TRUE,1,0)</f>
        <v>0</v>
      </c>
      <c r="T497" s="193">
        <f ca="1">IF(Daten!$Y497=Sprache!$A$135,1,0)</f>
        <v>0</v>
      </c>
      <c r="U497" s="124" t="str">
        <f ca="1">Sprache!$A$67</f>
        <v>T-70 Поворотный подъемник</v>
      </c>
      <c r="V497" s="194">
        <v>13</v>
      </c>
      <c r="W497" s="193">
        <v>13</v>
      </c>
      <c r="X497" s="187" t="str">
        <f ca="1">Sprache!$A$141</f>
        <v>Alu</v>
      </c>
      <c r="Y497" s="187" t="str">
        <f ca="1">Sprache!$A$136</f>
        <v>nein</v>
      </c>
      <c r="Z497" s="187" t="str">
        <f ca="1">Sprache!$A$79</f>
        <v>Створка</v>
      </c>
      <c r="AA497" s="187">
        <v>550</v>
      </c>
      <c r="AB497" s="124">
        <v>599</v>
      </c>
      <c r="AC497" s="187"/>
      <c r="AD497" s="195">
        <v>1.6</v>
      </c>
      <c r="AE497" s="196">
        <v>4.5999999999999996</v>
      </c>
      <c r="AF497" s="263" t="str">
        <f>MID(Tabelle2[[#This Row],[bnr full]],1,4)</f>
        <v>F151</v>
      </c>
      <c r="AG497" s="264" t="str">
        <f>MID(Tabelle2[[#This Row],[bnr full]],5,3)</f>
        <v>147</v>
      </c>
      <c r="AH497" s="265" t="str">
        <f>MID(Tabelle2[[#This Row],[bnr full]],8,3)</f>
        <v>807</v>
      </c>
      <c r="AI497" s="264" t="str">
        <f>MID(Tabelle2[[#This Row],[bnr full]],11,3)</f>
        <v>201</v>
      </c>
      <c r="AJ497" s="252" t="str">
        <f>MID(Tabelle2[[#This Row],[bnr full]],11,3)</f>
        <v>201</v>
      </c>
      <c r="AK497" s="197" t="s">
        <v>1663</v>
      </c>
      <c r="AL497" s="124" t="str">
        <f ca="1">Sprache!$A$111</f>
        <v>Комплект (Л + П)</v>
      </c>
      <c r="AM497" s="187" t="s">
        <v>25</v>
      </c>
      <c r="AN497" s="187" t="str">
        <f ca="1">Sprache!$A$128</f>
        <v>Пружина, оранжевая</v>
      </c>
      <c r="AO497" s="187" t="s">
        <v>25</v>
      </c>
      <c r="AP497" s="187" t="s">
        <v>25</v>
      </c>
      <c r="AQ497" s="187">
        <f>Limits!$K$9</f>
        <v>200</v>
      </c>
      <c r="AR497" s="124">
        <v>1200</v>
      </c>
      <c r="AS497" s="187"/>
      <c r="AT497" s="124"/>
      <c r="AV497"/>
      <c r="AX497" s="10"/>
      <c r="AY497" s="11"/>
      <c r="AZ497" s="2"/>
      <c r="BC497"/>
    </row>
    <row r="498" spans="1:55" hidden="1" x14ac:dyDescent="0.25">
      <c r="A498" s="12" t="str">
        <f ca="1">IF(F498+G498+H498+I498+J498+D498+E498=3,IF(Tabelle2[[#This Row],[Kappe Weiß]]=Limits!$R$29,1,""),"")</f>
        <v/>
      </c>
      <c r="B498" s="12" t="str">
        <f ca="1">IF(G498+H498+I498+J498+E498+F498=2,IF(Tabelle2[[#This Row],[Kappe Weiß]]=Limits!$R$29,1,""),"")</f>
        <v/>
      </c>
      <c r="C498" s="291">
        <v>1</v>
      </c>
      <c r="D498" s="171">
        <f>IF(Limits!$P$7=TRUE,1,0)</f>
        <v>0</v>
      </c>
      <c r="E498" s="172">
        <f>IF(Daten!$P498+Daten!$Q498+Daten!$S498=3,1,0)</f>
        <v>0</v>
      </c>
      <c r="F498" s="173">
        <f ca="1">IF(AND(Limits!$Q$21=TRUE,Daten!O498=1)=TRUE,1,0)</f>
        <v>0</v>
      </c>
      <c r="G498" s="174">
        <f>IF(AND(Limits!$Q$25=TRUE,Daten!N498=1)=TRUE,1,0)</f>
        <v>0</v>
      </c>
      <c r="H498" s="174">
        <f>IF(AND(Limits!$Q$24=TRUE,Daten!M498=1)=TRUE,1,0)</f>
        <v>0</v>
      </c>
      <c r="I498" s="174">
        <f>IF(AND(Limits!$Q$23=TRUE,Daten!L498=1)=TRUE,1,0)</f>
        <v>0</v>
      </c>
      <c r="J498" s="174">
        <f>IF(AND(Limits!$Q$22=TRUE,Daten!K498=1)=TRUE,1,0)</f>
        <v>0</v>
      </c>
      <c r="K498" s="188">
        <f>IF(Daten!$V498=13,1,0)</f>
        <v>0</v>
      </c>
      <c r="L498" s="189">
        <f>IF(Daten!$V498&lt;&gt;Daten!$W498,1,IF(Daten!$V498=14,1,0))</f>
        <v>1</v>
      </c>
      <c r="M498" s="189">
        <f>IF(Daten!$V498&lt;&gt;Daten!$W498,1,IF(Daten!$V498=16,1,0))</f>
        <v>0</v>
      </c>
      <c r="N498" s="189">
        <f>IF(Daten!$W498=17,1,0)</f>
        <v>0</v>
      </c>
      <c r="O498" s="190">
        <f ca="1">IF(Daten!$X498=Sprache!$A$70,1,0)</f>
        <v>0</v>
      </c>
      <c r="P498" s="191">
        <f>IF(AND(Daten!$AQ498&lt;=KINVARO!$AW$3,Daten!$AR498&gt;=KINVARO!$AW$3)=TRUE,1,0)</f>
        <v>1</v>
      </c>
      <c r="Q498" s="192">
        <f>IF(AND(Daten!$AA498&lt;=KINVARO!$AW$4,Daten!$AB498&gt;=KINVARO!$AW$4)=TRUE,1,0)</f>
        <v>0</v>
      </c>
      <c r="R498" s="192"/>
      <c r="S498" s="192">
        <f>IF(AND(Daten!$AD498&lt;=Limits!$I$70,Daten!$AE498&gt;=Limits!$I$70)=TRUE,1,0)</f>
        <v>0</v>
      </c>
      <c r="T498" s="193">
        <f ca="1">IF(Daten!$Y498=Sprache!$A$135,1,0)</f>
        <v>0</v>
      </c>
      <c r="U498" s="124" t="str">
        <f ca="1">Sprache!$A$67</f>
        <v>T-70 Поворотный подъемник</v>
      </c>
      <c r="V498" s="194">
        <v>14</v>
      </c>
      <c r="W498" s="193">
        <v>14</v>
      </c>
      <c r="X498" s="187" t="str">
        <f ca="1">Sprache!$A$141</f>
        <v>Alu</v>
      </c>
      <c r="Y498" s="187" t="str">
        <f ca="1">Sprache!$A$136</f>
        <v>nein</v>
      </c>
      <c r="Z498" s="187" t="str">
        <f ca="1">Sprache!$A$79</f>
        <v>Створка</v>
      </c>
      <c r="AA498" s="187">
        <v>550</v>
      </c>
      <c r="AB498" s="124">
        <v>599</v>
      </c>
      <c r="AC498" s="187"/>
      <c r="AD498" s="195">
        <v>1.4</v>
      </c>
      <c r="AE498" s="196">
        <v>3.7</v>
      </c>
      <c r="AF498" s="263" t="str">
        <f>MID(Tabelle2[[#This Row],[bnr full]],1,4)</f>
        <v>F151</v>
      </c>
      <c r="AG498" s="264" t="str">
        <f>MID(Tabelle2[[#This Row],[bnr full]],5,3)</f>
        <v>147</v>
      </c>
      <c r="AH498" s="265" t="str">
        <f>MID(Tabelle2[[#This Row],[bnr full]],8,3)</f>
        <v>808</v>
      </c>
      <c r="AI498" s="264" t="str">
        <f>MID(Tabelle2[[#This Row],[bnr full]],11,3)</f>
        <v>201</v>
      </c>
      <c r="AJ498" s="252" t="str">
        <f>MID(Tabelle2[[#This Row],[bnr full]],11,3)</f>
        <v>201</v>
      </c>
      <c r="AK498" s="197" t="s">
        <v>1664</v>
      </c>
      <c r="AL498" s="124" t="str">
        <f ca="1">Sprache!$A$111</f>
        <v>Комплект (Л + П)</v>
      </c>
      <c r="AM498" s="187" t="s">
        <v>25</v>
      </c>
      <c r="AN498" s="187" t="str">
        <f ca="1">Sprache!$A$127</f>
        <v>Пружина, белая</v>
      </c>
      <c r="AO498" s="187" t="s">
        <v>25</v>
      </c>
      <c r="AP498" s="187" t="s">
        <v>25</v>
      </c>
      <c r="AQ498" s="187">
        <f>Limits!$K$9</f>
        <v>200</v>
      </c>
      <c r="AR498" s="124">
        <v>1200</v>
      </c>
      <c r="AS498" s="187"/>
      <c r="AT498" s="124"/>
      <c r="AV498"/>
      <c r="AX498" s="10"/>
      <c r="AY498" s="11"/>
      <c r="AZ498" s="2"/>
      <c r="BC498"/>
    </row>
    <row r="499" spans="1:55" hidden="1" x14ac:dyDescent="0.25">
      <c r="A499" s="12" t="str">
        <f ca="1">IF(F499+G499+H499+I499+J499+D499+E499=3,IF(Tabelle2[[#This Row],[Kappe Weiß]]=Limits!$R$29,1,""),"")</f>
        <v/>
      </c>
      <c r="B499" s="12" t="str">
        <f ca="1">IF(G499+H499+I499+J499+E499+F499=2,IF(Tabelle2[[#This Row],[Kappe Weiß]]=Limits!$R$29,1,""),"")</f>
        <v/>
      </c>
      <c r="C499" s="291">
        <v>1</v>
      </c>
      <c r="D499" s="171">
        <f>IF(Limits!$P$7=TRUE,1,0)</f>
        <v>0</v>
      </c>
      <c r="E499" s="172">
        <f>IF(Daten!$P499+Daten!$Q499+Daten!$S499=3,1,0)</f>
        <v>0</v>
      </c>
      <c r="F499" s="173">
        <f ca="1">IF(AND(Limits!$Q$21=TRUE,Daten!O499=1)=TRUE,1,0)</f>
        <v>0</v>
      </c>
      <c r="G499" s="174">
        <f>IF(AND(Limits!$Q$25=TRUE,Daten!N499=1)=TRUE,1,0)</f>
        <v>0</v>
      </c>
      <c r="H499" s="174">
        <f>IF(AND(Limits!$Q$24=TRUE,Daten!M499=1)=TRUE,1,0)</f>
        <v>0</v>
      </c>
      <c r="I499" s="174">
        <f>IF(AND(Limits!$Q$23=TRUE,Daten!L499=1)=TRUE,1,0)</f>
        <v>0</v>
      </c>
      <c r="J499" s="174">
        <f>IF(AND(Limits!$Q$22=TRUE,Daten!K499=1)=TRUE,1,0)</f>
        <v>0</v>
      </c>
      <c r="K499" s="188">
        <f>IF(Daten!$V499=13,1,0)</f>
        <v>0</v>
      </c>
      <c r="L499" s="189">
        <f>IF(Daten!$V499&lt;&gt;Daten!$W499,1,IF(Daten!$V499=14,1,0))</f>
        <v>1</v>
      </c>
      <c r="M499" s="189">
        <f>IF(Daten!$V499&lt;&gt;Daten!$W499,1,IF(Daten!$V499=16,1,0))</f>
        <v>0</v>
      </c>
      <c r="N499" s="189">
        <f>IF(Daten!$W499=17,1,0)</f>
        <v>0</v>
      </c>
      <c r="O499" s="190">
        <f ca="1">IF(Daten!$X499=Sprache!$A$70,1,0)</f>
        <v>0</v>
      </c>
      <c r="P499" s="191">
        <f>IF(AND(Daten!$AQ499&lt;=KINVARO!$AW$3,Daten!$AR499&gt;=KINVARO!$AW$3)=TRUE,1,0)</f>
        <v>1</v>
      </c>
      <c r="Q499" s="192">
        <f>IF(AND(Daten!$AA499&lt;=KINVARO!$AW$4,Daten!$AB499&gt;=KINVARO!$AW$4)=TRUE,1,0)</f>
        <v>0</v>
      </c>
      <c r="R499" s="192"/>
      <c r="S499" s="192">
        <f>IF(AND(Daten!$AD499&lt;=Limits!$I$70,Daten!$AE499&gt;=Limits!$I$70)=TRUE,1,0)</f>
        <v>0</v>
      </c>
      <c r="T499" s="193">
        <f ca="1">IF(Daten!$Y499=Sprache!$A$135,1,0)</f>
        <v>0</v>
      </c>
      <c r="U499" s="124" t="str">
        <f ca="1">Sprache!$A$67</f>
        <v>T-70 Поворотный подъемник</v>
      </c>
      <c r="V499" s="194">
        <v>14</v>
      </c>
      <c r="W499" s="193">
        <v>14</v>
      </c>
      <c r="X499" s="187" t="str">
        <f ca="1">Sprache!$A$141</f>
        <v>Alu</v>
      </c>
      <c r="Y499" s="187" t="str">
        <f ca="1">Sprache!$A$136</f>
        <v>nein</v>
      </c>
      <c r="Z499" s="187" t="str">
        <f ca="1">Sprache!$A$79</f>
        <v>Створка</v>
      </c>
      <c r="AA499" s="187">
        <v>550</v>
      </c>
      <c r="AB499" s="124">
        <v>599</v>
      </c>
      <c r="AC499" s="187"/>
      <c r="AD499" s="195">
        <v>1.6</v>
      </c>
      <c r="AE499" s="196">
        <v>4.5999999999999996</v>
      </c>
      <c r="AF499" s="263" t="str">
        <f>MID(Tabelle2[[#This Row],[bnr full]],1,4)</f>
        <v>F151</v>
      </c>
      <c r="AG499" s="264" t="str">
        <f>MID(Tabelle2[[#This Row],[bnr full]],5,3)</f>
        <v>147</v>
      </c>
      <c r="AH499" s="265" t="str">
        <f>MID(Tabelle2[[#This Row],[bnr full]],8,3)</f>
        <v>808</v>
      </c>
      <c r="AI499" s="264" t="str">
        <f>MID(Tabelle2[[#This Row],[bnr full]],11,3)</f>
        <v>201</v>
      </c>
      <c r="AJ499" s="252" t="str">
        <f>MID(Tabelle2[[#This Row],[bnr full]],11,3)</f>
        <v>201</v>
      </c>
      <c r="AK499" s="197" t="s">
        <v>1664</v>
      </c>
      <c r="AL499" s="124" t="str">
        <f ca="1">Sprache!$A$111</f>
        <v>Комплект (Л + П)</v>
      </c>
      <c r="AM499" s="187" t="s">
        <v>25</v>
      </c>
      <c r="AN499" s="187" t="str">
        <f ca="1">Sprache!$A$128</f>
        <v>Пружина, оранжевая</v>
      </c>
      <c r="AO499" s="187" t="s">
        <v>25</v>
      </c>
      <c r="AP499" s="187" t="s">
        <v>25</v>
      </c>
      <c r="AQ499" s="187">
        <f>Limits!$K$9</f>
        <v>200</v>
      </c>
      <c r="AR499" s="124">
        <v>1200</v>
      </c>
      <c r="AS499" s="187"/>
      <c r="AT499" s="124"/>
      <c r="AV499"/>
      <c r="AX499" s="10"/>
      <c r="AY499" s="11"/>
      <c r="AZ499" s="2"/>
      <c r="BC499"/>
    </row>
    <row r="500" spans="1:55" hidden="1" x14ac:dyDescent="0.25">
      <c r="A500" s="12" t="str">
        <f ca="1">IF(F500+G500+H500+I500+J500+D500+E500=3,IF(Tabelle2[[#This Row],[Kappe Weiß]]=Limits!$R$29,1,""),"")</f>
        <v/>
      </c>
      <c r="B500" s="12" t="str">
        <f ca="1">IF(G500+H500+I500+J500+E500+F500=2,IF(Tabelle2[[#This Row],[Kappe Weiß]]=Limits!$R$29,1,""),"")</f>
        <v/>
      </c>
      <c r="C500" s="291">
        <v>1</v>
      </c>
      <c r="D500" s="171">
        <f>IF(Limits!$P$7=TRUE,1,0)</f>
        <v>0</v>
      </c>
      <c r="E500" s="172">
        <f>IF(Daten!$P500+Daten!$Q500+Daten!$S500=3,1,0)</f>
        <v>0</v>
      </c>
      <c r="F500" s="173">
        <f ca="1">IF(AND(Limits!$Q$21=TRUE,Daten!O500=1)=TRUE,1,0)</f>
        <v>0</v>
      </c>
      <c r="G500" s="174">
        <f>IF(AND(Limits!$Q$25=TRUE,Daten!N500=1)=TRUE,1,0)</f>
        <v>0</v>
      </c>
      <c r="H500" s="174">
        <f>IF(AND(Limits!$Q$24=TRUE,Daten!M500=1)=TRUE,1,0)</f>
        <v>0</v>
      </c>
      <c r="I500" s="174">
        <f>IF(AND(Limits!$Q$23=TRUE,Daten!L500=1)=TRUE,1,0)</f>
        <v>0</v>
      </c>
      <c r="J500" s="174">
        <f>IF(AND(Limits!$Q$22=TRUE,Daten!K500=1)=TRUE,1,0)</f>
        <v>0</v>
      </c>
      <c r="K500" s="188">
        <f>IF(Daten!$V500=13,1,0)</f>
        <v>0</v>
      </c>
      <c r="L500" s="189">
        <f>IF(Daten!$V500&lt;&gt;Daten!$W500,1,IF(Daten!$V500=14,1,0))</f>
        <v>0</v>
      </c>
      <c r="M500" s="189">
        <f>IF(Daten!$V500&lt;&gt;Daten!$W500,1,IF(Daten!$V500=16,1,0))</f>
        <v>1</v>
      </c>
      <c r="N500" s="189">
        <f>IF(Daten!$W500=17,1,0)</f>
        <v>0</v>
      </c>
      <c r="O500" s="190">
        <f ca="1">IF(Daten!$X500=Sprache!$A$70,1,0)</f>
        <v>0</v>
      </c>
      <c r="P500" s="191">
        <f>IF(AND(Daten!$AQ500&lt;=KINVARO!$AW$3,Daten!$AR500&gt;=KINVARO!$AW$3)=TRUE,1,0)</f>
        <v>1</v>
      </c>
      <c r="Q500" s="192">
        <f>IF(AND(Daten!$AA500&lt;=KINVARO!$AW$4,Daten!$AB500&gt;=KINVARO!$AW$4)=TRUE,1,0)</f>
        <v>0</v>
      </c>
      <c r="R500" s="192"/>
      <c r="S500" s="192">
        <f>IF(AND(Daten!$AD500&lt;=Limits!$I$70,Daten!$AE500&gt;=Limits!$I$70)=TRUE,1,0)</f>
        <v>0</v>
      </c>
      <c r="T500" s="193">
        <f ca="1">IF(Daten!$Y500=Sprache!$A$135,1,0)</f>
        <v>0</v>
      </c>
      <c r="U500" s="124" t="str">
        <f ca="1">Sprache!$A$67</f>
        <v>T-70 Поворотный подъемник</v>
      </c>
      <c r="V500" s="194">
        <v>16</v>
      </c>
      <c r="W500" s="193">
        <v>16</v>
      </c>
      <c r="X500" s="187" t="str">
        <f ca="1">Sprache!$A$141</f>
        <v>Alu</v>
      </c>
      <c r="Y500" s="187" t="str">
        <f ca="1">Sprache!$A$136</f>
        <v>nein</v>
      </c>
      <c r="Z500" s="187" t="str">
        <f ca="1">Sprache!$A$79</f>
        <v>Створка</v>
      </c>
      <c r="AA500" s="187">
        <v>550</v>
      </c>
      <c r="AB500" s="124">
        <v>599</v>
      </c>
      <c r="AC500" s="187"/>
      <c r="AD500" s="195">
        <v>1.4</v>
      </c>
      <c r="AE500" s="196">
        <v>3.7</v>
      </c>
      <c r="AF500" s="263" t="str">
        <f>MID(Tabelle2[[#This Row],[bnr full]],1,4)</f>
        <v>F151</v>
      </c>
      <c r="AG500" s="264" t="str">
        <f>MID(Tabelle2[[#This Row],[bnr full]],5,3)</f>
        <v>147</v>
      </c>
      <c r="AH500" s="265" t="str">
        <f>MID(Tabelle2[[#This Row],[bnr full]],8,3)</f>
        <v>809</v>
      </c>
      <c r="AI500" s="264" t="str">
        <f>MID(Tabelle2[[#This Row],[bnr full]],11,3)</f>
        <v>201</v>
      </c>
      <c r="AJ500" s="252" t="str">
        <f>MID(Tabelle2[[#This Row],[bnr full]],11,3)</f>
        <v>201</v>
      </c>
      <c r="AK500" s="197" t="s">
        <v>1665</v>
      </c>
      <c r="AL500" s="124" t="str">
        <f ca="1">Sprache!$A$111</f>
        <v>Комплект (Л + П)</v>
      </c>
      <c r="AM500" s="187" t="s">
        <v>25</v>
      </c>
      <c r="AN500" s="187" t="str">
        <f ca="1">Sprache!$A$127</f>
        <v>Пружина, белая</v>
      </c>
      <c r="AO500" s="187" t="s">
        <v>25</v>
      </c>
      <c r="AP500" s="187" t="s">
        <v>25</v>
      </c>
      <c r="AQ500" s="187">
        <f>Limits!$K$9</f>
        <v>200</v>
      </c>
      <c r="AR500" s="124">
        <v>1200</v>
      </c>
      <c r="AS500" s="187"/>
      <c r="AT500" s="124"/>
      <c r="AV500"/>
      <c r="AX500" s="10"/>
      <c r="AY500" s="11"/>
      <c r="AZ500" s="2"/>
      <c r="BC500"/>
    </row>
    <row r="501" spans="1:55" hidden="1" x14ac:dyDescent="0.25">
      <c r="A501" s="12" t="str">
        <f ca="1">IF(F501+G501+H501+I501+J501+D501+E501=3,IF(Tabelle2[[#This Row],[Kappe Weiß]]=Limits!$R$29,1,""),"")</f>
        <v/>
      </c>
      <c r="B501" s="12" t="str">
        <f ca="1">IF(G501+H501+I501+J501+E501+F501=2,IF(Tabelle2[[#This Row],[Kappe Weiß]]=Limits!$R$29,1,""),"")</f>
        <v/>
      </c>
      <c r="C501" s="291">
        <v>1</v>
      </c>
      <c r="D501" s="171">
        <f>IF(Limits!$P$7=TRUE,1,0)</f>
        <v>0</v>
      </c>
      <c r="E501" s="172">
        <f>IF(Daten!$P501+Daten!$Q501+Daten!$S501=3,1,0)</f>
        <v>0</v>
      </c>
      <c r="F501" s="173">
        <f ca="1">IF(AND(Limits!$Q$21=TRUE,Daten!O501=1)=TRUE,1,0)</f>
        <v>0</v>
      </c>
      <c r="G501" s="174">
        <f>IF(AND(Limits!$Q$25=TRUE,Daten!N501=1)=TRUE,1,0)</f>
        <v>0</v>
      </c>
      <c r="H501" s="174">
        <f>IF(AND(Limits!$Q$24=TRUE,Daten!M501=1)=TRUE,1,0)</f>
        <v>0</v>
      </c>
      <c r="I501" s="174">
        <f>IF(AND(Limits!$Q$23=TRUE,Daten!L501=1)=TRUE,1,0)</f>
        <v>0</v>
      </c>
      <c r="J501" s="174">
        <f>IF(AND(Limits!$Q$22=TRUE,Daten!K501=1)=TRUE,1,0)</f>
        <v>0</v>
      </c>
      <c r="K501" s="188">
        <f>IF(Daten!$V501=13,1,0)</f>
        <v>0</v>
      </c>
      <c r="L501" s="189">
        <f>IF(Daten!$V501&lt;&gt;Daten!$W501,1,IF(Daten!$V501=14,1,0))</f>
        <v>0</v>
      </c>
      <c r="M501" s="189">
        <f>IF(Daten!$V501&lt;&gt;Daten!$W501,1,IF(Daten!$V501=16,1,0))</f>
        <v>1</v>
      </c>
      <c r="N501" s="189">
        <f>IF(Daten!$W501=17,1,0)</f>
        <v>0</v>
      </c>
      <c r="O501" s="190">
        <f ca="1">IF(Daten!$X501=Sprache!$A$70,1,0)</f>
        <v>0</v>
      </c>
      <c r="P501" s="191">
        <f>IF(AND(Daten!$AQ501&lt;=KINVARO!$AW$3,Daten!$AR501&gt;=KINVARO!$AW$3)=TRUE,1,0)</f>
        <v>1</v>
      </c>
      <c r="Q501" s="192">
        <f>IF(AND(Daten!$AA501&lt;=KINVARO!$AW$4,Daten!$AB501&gt;=KINVARO!$AW$4)=TRUE,1,0)</f>
        <v>0</v>
      </c>
      <c r="R501" s="192"/>
      <c r="S501" s="192">
        <f>IF(AND(Daten!$AD501&lt;=Limits!$I$70,Daten!$AE501&gt;=Limits!$I$70)=TRUE,1,0)</f>
        <v>0</v>
      </c>
      <c r="T501" s="193">
        <f ca="1">IF(Daten!$Y501=Sprache!$A$135,1,0)</f>
        <v>0</v>
      </c>
      <c r="U501" s="124" t="str">
        <f ca="1">Sprache!$A$67</f>
        <v>T-70 Поворотный подъемник</v>
      </c>
      <c r="V501" s="194">
        <v>16</v>
      </c>
      <c r="W501" s="193">
        <v>16</v>
      </c>
      <c r="X501" s="187" t="str">
        <f ca="1">Sprache!$A$141</f>
        <v>Alu</v>
      </c>
      <c r="Y501" s="187" t="str">
        <f ca="1">Sprache!$A$136</f>
        <v>nein</v>
      </c>
      <c r="Z501" s="187" t="str">
        <f ca="1">Sprache!$A$79</f>
        <v>Створка</v>
      </c>
      <c r="AA501" s="187">
        <v>550</v>
      </c>
      <c r="AB501" s="124">
        <v>599</v>
      </c>
      <c r="AC501" s="187"/>
      <c r="AD501" s="195">
        <v>1.6</v>
      </c>
      <c r="AE501" s="196">
        <v>4.5999999999999996</v>
      </c>
      <c r="AF501" s="263" t="str">
        <f>MID(Tabelle2[[#This Row],[bnr full]],1,4)</f>
        <v>F151</v>
      </c>
      <c r="AG501" s="264" t="str">
        <f>MID(Tabelle2[[#This Row],[bnr full]],5,3)</f>
        <v>147</v>
      </c>
      <c r="AH501" s="265" t="str">
        <f>MID(Tabelle2[[#This Row],[bnr full]],8,3)</f>
        <v>809</v>
      </c>
      <c r="AI501" s="264" t="str">
        <f>MID(Tabelle2[[#This Row],[bnr full]],11,3)</f>
        <v>201</v>
      </c>
      <c r="AJ501" s="252" t="str">
        <f>MID(Tabelle2[[#This Row],[bnr full]],11,3)</f>
        <v>201</v>
      </c>
      <c r="AK501" s="197" t="s">
        <v>1665</v>
      </c>
      <c r="AL501" s="124" t="str">
        <f ca="1">Sprache!$A$111</f>
        <v>Комплект (Л + П)</v>
      </c>
      <c r="AM501" s="187" t="s">
        <v>25</v>
      </c>
      <c r="AN501" s="187" t="str">
        <f ca="1">Sprache!$A$128</f>
        <v>Пружина, оранжевая</v>
      </c>
      <c r="AO501" s="187" t="s">
        <v>25</v>
      </c>
      <c r="AP501" s="187" t="s">
        <v>25</v>
      </c>
      <c r="AQ501" s="187">
        <f>Limits!$K$9</f>
        <v>200</v>
      </c>
      <c r="AR501" s="124">
        <v>1200</v>
      </c>
      <c r="AS501" s="187"/>
      <c r="AT501" s="124"/>
      <c r="AV501"/>
      <c r="AX501" s="10"/>
      <c r="AY501" s="11"/>
      <c r="AZ501" s="2"/>
      <c r="BC501"/>
    </row>
    <row r="502" spans="1:55" hidden="1" x14ac:dyDescent="0.25">
      <c r="A502" s="12" t="str">
        <f ca="1">IF(F502+G502+H502+I502+J502+D502+E502=3,IF(Tabelle2[[#This Row],[Kappe Weiß]]=Limits!$R$29,1,""),"")</f>
        <v/>
      </c>
      <c r="B502" s="12" t="str">
        <f ca="1">IF(G502+H502+I502+J502+E502+F502=2,IF(Tabelle2[[#This Row],[Kappe Weiß]]=Limits!$R$29,1,""),"")</f>
        <v/>
      </c>
      <c r="C502" s="291">
        <v>1</v>
      </c>
      <c r="D502" s="171">
        <f>IF(Limits!$P$7=TRUE,1,0)</f>
        <v>0</v>
      </c>
      <c r="E502" s="172">
        <f>IF(Daten!$P502+Daten!$Q502+Daten!$S502=3,1,0)</f>
        <v>0</v>
      </c>
      <c r="F502" s="173">
        <f ca="1">IF(AND(Limits!$Q$21=TRUE,Daten!O502=1)=TRUE,1,0)</f>
        <v>0</v>
      </c>
      <c r="G502" s="174">
        <f>IF(AND(Limits!$Q$25=TRUE,Daten!N502=1)=TRUE,1,0)</f>
        <v>0</v>
      </c>
      <c r="H502" s="174">
        <f>IF(AND(Limits!$Q$24=TRUE,Daten!M502=1)=TRUE,1,0)</f>
        <v>0</v>
      </c>
      <c r="I502" s="174">
        <f>IF(AND(Limits!$Q$23=TRUE,Daten!L502=1)=TRUE,1,0)</f>
        <v>0</v>
      </c>
      <c r="J502" s="174">
        <f>IF(AND(Limits!$Q$22=TRUE,Daten!K502=1)=TRUE,1,0)</f>
        <v>0</v>
      </c>
      <c r="K502" s="188">
        <f>IF(Daten!$V502=13,1,0)</f>
        <v>0</v>
      </c>
      <c r="L502" s="189">
        <f>IF(Daten!$V502&lt;&gt;Daten!$W502,1,IF(Daten!$V502=14,1,0))</f>
        <v>0</v>
      </c>
      <c r="M502" s="189">
        <f>IF(Daten!$V502&lt;&gt;Daten!$W502,1,IF(Daten!$V502=16,1,0))</f>
        <v>0</v>
      </c>
      <c r="N502" s="189">
        <f>IF(Daten!$W502=17,1,0)</f>
        <v>1</v>
      </c>
      <c r="O502" s="190">
        <f ca="1">IF(Daten!$X502=Sprache!$A$70,1,0)</f>
        <v>0</v>
      </c>
      <c r="P502" s="191">
        <f>IF(AND(Daten!$AQ502&lt;=KINVARO!$AW$3,Daten!$AR502&gt;=KINVARO!$AW$3)=TRUE,1,0)</f>
        <v>1</v>
      </c>
      <c r="Q502" s="192">
        <f>IF(AND(Daten!$AA502&lt;=KINVARO!$AW$4,Daten!$AB502&gt;=KINVARO!$AW$4)=TRUE,1,0)</f>
        <v>0</v>
      </c>
      <c r="R502" s="192"/>
      <c r="S502" s="192">
        <f>IF(AND(Daten!$AD502&lt;=Limits!$I$70,Daten!$AE502&gt;=Limits!$I$70)=TRUE,1,0)</f>
        <v>0</v>
      </c>
      <c r="T502" s="193">
        <f ca="1">IF(Daten!$Y502=Sprache!$A$135,1,0)</f>
        <v>0</v>
      </c>
      <c r="U502" s="124" t="str">
        <f ca="1">Sprache!$A$67</f>
        <v>T-70 Поворотный подъемник</v>
      </c>
      <c r="V502" s="194">
        <v>17</v>
      </c>
      <c r="W502" s="193">
        <v>17</v>
      </c>
      <c r="X502" s="187" t="str">
        <f ca="1">Sprache!$A$141</f>
        <v>Alu</v>
      </c>
      <c r="Y502" s="187" t="str">
        <f ca="1">Sprache!$A$136</f>
        <v>nein</v>
      </c>
      <c r="Z502" s="187" t="str">
        <f ca="1">Sprache!$A$79</f>
        <v>Створка</v>
      </c>
      <c r="AA502" s="187">
        <v>550</v>
      </c>
      <c r="AB502" s="124">
        <v>599</v>
      </c>
      <c r="AC502" s="187"/>
      <c r="AD502" s="195">
        <v>1.4</v>
      </c>
      <c r="AE502" s="196">
        <v>3.7</v>
      </c>
      <c r="AF502" s="263" t="str">
        <f>MID(Tabelle2[[#This Row],[bnr full]],1,4)</f>
        <v>F151</v>
      </c>
      <c r="AG502" s="264" t="str">
        <f>MID(Tabelle2[[#This Row],[bnr full]],5,3)</f>
        <v>147</v>
      </c>
      <c r="AH502" s="265" t="str">
        <f>MID(Tabelle2[[#This Row],[bnr full]],8,3)</f>
        <v>810</v>
      </c>
      <c r="AI502" s="264" t="str">
        <f>MID(Tabelle2[[#This Row],[bnr full]],11,3)</f>
        <v>201</v>
      </c>
      <c r="AJ502" s="252" t="str">
        <f>MID(Tabelle2[[#This Row],[bnr full]],11,3)</f>
        <v>201</v>
      </c>
      <c r="AK502" s="197" t="s">
        <v>1666</v>
      </c>
      <c r="AL502" s="124" t="str">
        <f ca="1">Sprache!$A$111</f>
        <v>Комплект (Л + П)</v>
      </c>
      <c r="AM502" s="187" t="s">
        <v>25</v>
      </c>
      <c r="AN502" s="187" t="str">
        <f ca="1">Sprache!$A$127</f>
        <v>Пружина, белая</v>
      </c>
      <c r="AO502" s="187" t="s">
        <v>25</v>
      </c>
      <c r="AP502" s="187" t="s">
        <v>25</v>
      </c>
      <c r="AQ502" s="187">
        <f>Limits!$K$9</f>
        <v>200</v>
      </c>
      <c r="AR502" s="124">
        <v>1200</v>
      </c>
      <c r="AS502" s="187"/>
      <c r="AT502" s="124"/>
      <c r="AV502"/>
      <c r="AX502" s="10"/>
      <c r="AY502" s="11"/>
      <c r="AZ502" s="2"/>
      <c r="BC502"/>
    </row>
    <row r="503" spans="1:55" hidden="1" x14ac:dyDescent="0.25">
      <c r="A503" s="12" t="str">
        <f ca="1">IF(F503+G503+H503+I503+J503+D503+E503=3,IF(Tabelle2[[#This Row],[Kappe Weiß]]=Limits!$R$29,1,""),"")</f>
        <v/>
      </c>
      <c r="B503" s="12" t="str">
        <f ca="1">IF(G503+H503+I503+J503+E503+F503=2,IF(Tabelle2[[#This Row],[Kappe Weiß]]=Limits!$R$29,1,""),"")</f>
        <v/>
      </c>
      <c r="C503" s="291">
        <v>1</v>
      </c>
      <c r="D503" s="171">
        <f>IF(Limits!$P$7=TRUE,1,0)</f>
        <v>0</v>
      </c>
      <c r="E503" s="172">
        <f>IF(Daten!$P503+Daten!$Q503+Daten!$S503=3,1,0)</f>
        <v>0</v>
      </c>
      <c r="F503" s="173">
        <f ca="1">IF(AND(Limits!$Q$21=TRUE,Daten!O503=1)=TRUE,1,0)</f>
        <v>0</v>
      </c>
      <c r="G503" s="174">
        <f>IF(AND(Limits!$Q$25=TRUE,Daten!N503=1)=TRUE,1,0)</f>
        <v>0</v>
      </c>
      <c r="H503" s="174">
        <f>IF(AND(Limits!$Q$24=TRUE,Daten!M503=1)=TRUE,1,0)</f>
        <v>0</v>
      </c>
      <c r="I503" s="174">
        <f>IF(AND(Limits!$Q$23=TRUE,Daten!L503=1)=TRUE,1,0)</f>
        <v>0</v>
      </c>
      <c r="J503" s="174">
        <f>IF(AND(Limits!$Q$22=TRUE,Daten!K503=1)=TRUE,1,0)</f>
        <v>0</v>
      </c>
      <c r="K503" s="188">
        <f>IF(Daten!$V503=13,1,0)</f>
        <v>0</v>
      </c>
      <c r="L503" s="189">
        <f>IF(Daten!$V503&lt;&gt;Daten!$W503,1,IF(Daten!$V503=14,1,0))</f>
        <v>0</v>
      </c>
      <c r="M503" s="189">
        <f>IF(Daten!$V503&lt;&gt;Daten!$W503,1,IF(Daten!$V503=16,1,0))</f>
        <v>0</v>
      </c>
      <c r="N503" s="189">
        <f>IF(Daten!$W503=17,1,0)</f>
        <v>1</v>
      </c>
      <c r="O503" s="190">
        <f ca="1">IF(Daten!$X503=Sprache!$A$70,1,0)</f>
        <v>0</v>
      </c>
      <c r="P503" s="191">
        <f>IF(AND(Daten!$AQ503&lt;=KINVARO!$AW$3,Daten!$AR503&gt;=KINVARO!$AW$3)=TRUE,1,0)</f>
        <v>1</v>
      </c>
      <c r="Q503" s="192">
        <f>IF(AND(Daten!$AA503&lt;=KINVARO!$AW$4,Daten!$AB503&gt;=KINVARO!$AW$4)=TRUE,1,0)</f>
        <v>0</v>
      </c>
      <c r="R503" s="192"/>
      <c r="S503" s="192">
        <f>IF(AND(Daten!$AD503&lt;=Limits!$I$70,Daten!$AE503&gt;=Limits!$I$70)=TRUE,1,0)</f>
        <v>0</v>
      </c>
      <c r="T503" s="193">
        <f ca="1">IF(Daten!$Y503=Sprache!$A$135,1,0)</f>
        <v>0</v>
      </c>
      <c r="U503" s="124" t="str">
        <f ca="1">Sprache!$A$67</f>
        <v>T-70 Поворотный подъемник</v>
      </c>
      <c r="V503" s="194">
        <v>17</v>
      </c>
      <c r="W503" s="193">
        <v>17</v>
      </c>
      <c r="X503" s="187" t="str">
        <f ca="1">Sprache!$A$141</f>
        <v>Alu</v>
      </c>
      <c r="Y503" s="187" t="str">
        <f ca="1">Sprache!$A$136</f>
        <v>nein</v>
      </c>
      <c r="Z503" s="187" t="str">
        <f ca="1">Sprache!$A$79</f>
        <v>Створка</v>
      </c>
      <c r="AA503" s="187">
        <v>550</v>
      </c>
      <c r="AB503" s="124">
        <v>599</v>
      </c>
      <c r="AC503" s="187"/>
      <c r="AD503" s="195">
        <v>1.6</v>
      </c>
      <c r="AE503" s="196">
        <v>4.5999999999999996</v>
      </c>
      <c r="AF503" s="263" t="str">
        <f>MID(Tabelle2[[#This Row],[bnr full]],1,4)</f>
        <v>F151</v>
      </c>
      <c r="AG503" s="264" t="str">
        <f>MID(Tabelle2[[#This Row],[bnr full]],5,3)</f>
        <v>147</v>
      </c>
      <c r="AH503" s="265" t="str">
        <f>MID(Tabelle2[[#This Row],[bnr full]],8,3)</f>
        <v>810</v>
      </c>
      <c r="AI503" s="264" t="str">
        <f>MID(Tabelle2[[#This Row],[bnr full]],11,3)</f>
        <v>201</v>
      </c>
      <c r="AJ503" s="252" t="str">
        <f>MID(Tabelle2[[#This Row],[bnr full]],11,3)</f>
        <v>201</v>
      </c>
      <c r="AK503" s="197" t="s">
        <v>1666</v>
      </c>
      <c r="AL503" s="124" t="str">
        <f ca="1">Sprache!$A$111</f>
        <v>Комплект (Л + П)</v>
      </c>
      <c r="AM503" s="187" t="s">
        <v>25</v>
      </c>
      <c r="AN503" s="187" t="str">
        <f ca="1">Sprache!$A$128</f>
        <v>Пружина, оранжевая</v>
      </c>
      <c r="AO503" s="187" t="s">
        <v>25</v>
      </c>
      <c r="AP503" s="187" t="s">
        <v>25</v>
      </c>
      <c r="AQ503" s="187">
        <f>Limits!$K$9</f>
        <v>200</v>
      </c>
      <c r="AR503" s="124">
        <v>1200</v>
      </c>
      <c r="AS503" s="187"/>
      <c r="AT503" s="124"/>
      <c r="AV503"/>
      <c r="AX503" s="10"/>
      <c r="AY503" s="11"/>
      <c r="AZ503" s="2"/>
      <c r="BC503"/>
    </row>
    <row r="504" spans="1:55" hidden="1" x14ac:dyDescent="0.25">
      <c r="A504" s="12" t="str">
        <f ca="1">IF(F504+G504+H504+I504+J504+D504+E504=3,IF(Tabelle2[[#This Row],[Kappe Weiß]]=Limits!$R$29,1,""),"")</f>
        <v/>
      </c>
      <c r="B504" s="12" t="str">
        <f ca="1">IF(G504+H504+I504+J504+E504+F504=2,IF(Tabelle2[[#This Row],[Kappe Weiß]]=Limits!$R$29,1,""),"")</f>
        <v/>
      </c>
      <c r="C504" s="292">
        <v>1</v>
      </c>
      <c r="D504" s="171">
        <f>IF(Limits!$P$7=TRUE,1,0)</f>
        <v>0</v>
      </c>
      <c r="E504" s="172">
        <f>IF(Daten!$P504+Daten!$Q504+Daten!$S504=3,1,0)</f>
        <v>0</v>
      </c>
      <c r="F504" s="173">
        <f ca="1">IF(AND(Limits!$Q$21=TRUE,Daten!O504=1)=TRUE,1,0)</f>
        <v>1</v>
      </c>
      <c r="G504" s="174">
        <f ca="1">IF(AND(Limits!$Q$25=TRUE,Daten!N504=1)=TRUE,1,0)</f>
        <v>0</v>
      </c>
      <c r="H504" s="174">
        <f ca="1">IF(AND(Limits!$Q$24=TRUE,Daten!M504=1)=TRUE,1,0)</f>
        <v>0</v>
      </c>
      <c r="I504" s="174">
        <f ca="1">IF(AND(Limits!$Q$23=TRUE,Daten!L504=1)=TRUE,1,0)</f>
        <v>0</v>
      </c>
      <c r="J504" s="174">
        <f ca="1">IF(AND(Limits!$Q$22=TRUE,Daten!K504=1)=TRUE,1,0)</f>
        <v>0</v>
      </c>
      <c r="K504" s="188">
        <f ca="1">IF(Daten!$V504=13,1,0)</f>
        <v>0</v>
      </c>
      <c r="L504" s="189">
        <f ca="1">IF(Daten!$V504&lt;&gt;Daten!$W504,1,IF(Daten!$V504=14,1,0))</f>
        <v>0</v>
      </c>
      <c r="M504" s="189">
        <f ca="1">IF(Daten!$V504&lt;&gt;Daten!$W504,1,IF(Daten!$V504=16,1,0))</f>
        <v>0</v>
      </c>
      <c r="N504" s="189">
        <f ca="1">IF(Daten!$W504=17,1,0)</f>
        <v>0</v>
      </c>
      <c r="O504" s="190">
        <f ca="1">IF(Daten!$X504=Sprache!$A$70,1,0)</f>
        <v>1</v>
      </c>
      <c r="P504" s="198">
        <f>IF(AND(Daten!$AQ504&lt;=KINVARO!$AW$3,Daten!$AR504&gt;=KINVARO!$AW$3)=TRUE,1,0)</f>
        <v>1</v>
      </c>
      <c r="Q504" s="199">
        <f>IF(AND(Daten!$AA504&lt;=KINVARO!$AW$4,Daten!$AB504&gt;=KINVARO!$AW$4)=TRUE,1,0)</f>
        <v>0</v>
      </c>
      <c r="R504" s="199"/>
      <c r="S504" s="199">
        <f>IF(AND(Daten!$AD504&lt;=Limits!$I$70,Daten!$AE504&gt;=Limits!$I$70)=TRUE,1,0)</f>
        <v>0</v>
      </c>
      <c r="T504" s="200">
        <f ca="1">IF(Daten!$Y504=Sprache!$A$135,1,0)</f>
        <v>0</v>
      </c>
      <c r="U504" s="201" t="str">
        <f ca="1">Sprache!$A$67</f>
        <v>T-70 Поворотный подъемник</v>
      </c>
      <c r="V504" s="202" t="str">
        <f ca="1">Sprache!$A$74</f>
        <v>var</v>
      </c>
      <c r="W504" s="200" t="str">
        <f ca="1">Sprache!$A$74</f>
        <v>var</v>
      </c>
      <c r="X504" s="203" t="str">
        <f ca="1">Sprache!$A$70</f>
        <v>соединение с древесиной</v>
      </c>
      <c r="Y504" s="187" t="str">
        <f ca="1">Sprache!$A$136</f>
        <v>nein</v>
      </c>
      <c r="Z504" s="203" t="str">
        <f ca="1">Sprache!$A$79</f>
        <v>Створка</v>
      </c>
      <c r="AA504" s="203">
        <v>600</v>
      </c>
      <c r="AB504" s="201">
        <v>600</v>
      </c>
      <c r="AC504" s="203"/>
      <c r="AD504" s="204">
        <v>1.4</v>
      </c>
      <c r="AE504" s="205">
        <v>3.3</v>
      </c>
      <c r="AF504" s="266" t="str">
        <f>MID(Tabelle2[[#This Row],[bnr full]],1,4)</f>
        <v>F151</v>
      </c>
      <c r="AG504" s="267" t="str">
        <f>MID(Tabelle2[[#This Row],[bnr full]],5,3)</f>
        <v>147</v>
      </c>
      <c r="AH504" s="268" t="str">
        <f>MID(Tabelle2[[#This Row],[bnr full]],8,3)</f>
        <v>693</v>
      </c>
      <c r="AI504" s="267" t="str">
        <f>MID(Tabelle2[[#This Row],[bnr full]],11,3)</f>
        <v>201</v>
      </c>
      <c r="AJ504" s="253" t="str">
        <f>MID(Tabelle2[[#This Row],[bnr full]],11,3)</f>
        <v>201</v>
      </c>
      <c r="AK504" s="206" t="s">
        <v>1662</v>
      </c>
      <c r="AL504" s="201" t="str">
        <f ca="1">Sprache!$A$111</f>
        <v>Комплект (Л + П)</v>
      </c>
      <c r="AM504" s="203" t="s">
        <v>25</v>
      </c>
      <c r="AN504" s="203" t="str">
        <f ca="1">Sprache!$A$127</f>
        <v>Пружина, белая</v>
      </c>
      <c r="AO504" s="187" t="s">
        <v>25</v>
      </c>
      <c r="AP504" s="187" t="s">
        <v>25</v>
      </c>
      <c r="AQ504" s="203">
        <f>Limits!$K$9</f>
        <v>200</v>
      </c>
      <c r="AR504" s="201">
        <v>1200</v>
      </c>
      <c r="AS504" s="187"/>
      <c r="AT504" s="124"/>
      <c r="AV504"/>
      <c r="AX504" s="10"/>
      <c r="AY504" s="11"/>
      <c r="AZ504" s="2"/>
      <c r="BC504"/>
    </row>
    <row r="505" spans="1:55" hidden="1" x14ac:dyDescent="0.25">
      <c r="A505" s="12" t="str">
        <f ca="1">IF(F505+G505+H505+I505+J505+D505+E505=3,IF(Tabelle2[[#This Row],[Kappe Weiß]]=Limits!$R$29,1,""),"")</f>
        <v/>
      </c>
      <c r="B505" s="12" t="str">
        <f ca="1">IF(G505+H505+I505+J505+E505+F505=2,IF(Tabelle2[[#This Row],[Kappe Weiß]]=Limits!$R$29,1,""),"")</f>
        <v/>
      </c>
      <c r="C505" s="291">
        <v>1</v>
      </c>
      <c r="D505" s="171">
        <f>IF(Limits!$P$7=TRUE,1,0)</f>
        <v>0</v>
      </c>
      <c r="E505" s="172">
        <f>IF(Daten!$P505+Daten!$Q505+Daten!$S505=3,1,0)</f>
        <v>0</v>
      </c>
      <c r="F505" s="173">
        <f ca="1">IF(AND(Limits!$Q$21=TRUE,Daten!O505=1)=TRUE,1,0)</f>
        <v>1</v>
      </c>
      <c r="G505" s="174">
        <f ca="1">IF(AND(Limits!$Q$25=TRUE,Daten!N505=1)=TRUE,1,0)</f>
        <v>0</v>
      </c>
      <c r="H505" s="174">
        <f ca="1">IF(AND(Limits!$Q$24=TRUE,Daten!M505=1)=TRUE,1,0)</f>
        <v>0</v>
      </c>
      <c r="I505" s="174">
        <f ca="1">IF(AND(Limits!$Q$23=TRUE,Daten!L505=1)=TRUE,1,0)</f>
        <v>0</v>
      </c>
      <c r="J505" s="174">
        <f ca="1">IF(AND(Limits!$Q$22=TRUE,Daten!K505=1)=TRUE,1,0)</f>
        <v>0</v>
      </c>
      <c r="K505" s="188">
        <f ca="1">IF(Daten!$V505=13,1,0)</f>
        <v>0</v>
      </c>
      <c r="L505" s="189">
        <f ca="1">IF(Daten!$V505&lt;&gt;Daten!$W505,1,IF(Daten!$V505=14,1,0))</f>
        <v>0</v>
      </c>
      <c r="M505" s="189">
        <f ca="1">IF(Daten!$V505&lt;&gt;Daten!$W505,1,IF(Daten!$V505=16,1,0))</f>
        <v>0</v>
      </c>
      <c r="N505" s="189">
        <f ca="1">IF(Daten!$W505=17,1,0)</f>
        <v>0</v>
      </c>
      <c r="O505" s="190">
        <f ca="1">IF(Daten!$X505=Sprache!$A$70,1,0)</f>
        <v>1</v>
      </c>
      <c r="P505" s="191">
        <f>IF(AND(Daten!$AQ505&lt;=KINVARO!$AW$3,Daten!$AR505&gt;=KINVARO!$AW$3)=TRUE,1,0)</f>
        <v>1</v>
      </c>
      <c r="Q505" s="192">
        <f>IF(AND(Daten!$AA505&lt;=KINVARO!$AW$4,Daten!$AB505&gt;=KINVARO!$AW$4)=TRUE,1,0)</f>
        <v>0</v>
      </c>
      <c r="R505" s="192"/>
      <c r="S505" s="192">
        <f>IF(AND(Daten!$AD505&lt;=Limits!$I$70,Daten!$AE505&gt;=Limits!$I$70)=TRUE,1,0)</f>
        <v>0</v>
      </c>
      <c r="T505" s="193">
        <f ca="1">IF(Daten!$Y505=Sprache!$A$135,1,0)</f>
        <v>0</v>
      </c>
      <c r="U505" s="124" t="str">
        <f ca="1">Sprache!$A$67</f>
        <v>T-70 Поворотный подъемник</v>
      </c>
      <c r="V505" s="194" t="str">
        <f ca="1">Sprache!$A$74</f>
        <v>var</v>
      </c>
      <c r="W505" s="193" t="str">
        <f ca="1">Sprache!$A$74</f>
        <v>var</v>
      </c>
      <c r="X505" s="187" t="str">
        <f ca="1">Sprache!$A$70</f>
        <v>соединение с древесиной</v>
      </c>
      <c r="Y505" s="187" t="str">
        <f ca="1">Sprache!$A$136</f>
        <v>nein</v>
      </c>
      <c r="Z505" s="187" t="str">
        <f ca="1">Sprache!$A$79</f>
        <v>Створка</v>
      </c>
      <c r="AA505" s="187">
        <v>600</v>
      </c>
      <c r="AB505" s="124">
        <v>600</v>
      </c>
      <c r="AC505" s="187"/>
      <c r="AD505" s="195">
        <v>1.4</v>
      </c>
      <c r="AE505" s="196">
        <v>4.2</v>
      </c>
      <c r="AF505" s="263" t="str">
        <f>MID(Tabelle2[[#This Row],[bnr full]],1,4)</f>
        <v>F151</v>
      </c>
      <c r="AG505" s="264" t="str">
        <f>MID(Tabelle2[[#This Row],[bnr full]],5,3)</f>
        <v>147</v>
      </c>
      <c r="AH505" s="265" t="str">
        <f>MID(Tabelle2[[#This Row],[bnr full]],8,3)</f>
        <v>693</v>
      </c>
      <c r="AI505" s="264" t="str">
        <f>MID(Tabelle2[[#This Row],[bnr full]],11,3)</f>
        <v>201</v>
      </c>
      <c r="AJ505" s="252" t="str">
        <f>MID(Tabelle2[[#This Row],[bnr full]],11,3)</f>
        <v>201</v>
      </c>
      <c r="AK505" s="197" t="s">
        <v>1662</v>
      </c>
      <c r="AL505" s="124" t="str">
        <f ca="1">Sprache!$A$111</f>
        <v>Комплект (Л + П)</v>
      </c>
      <c r="AM505" s="187" t="s">
        <v>25</v>
      </c>
      <c r="AN505" s="187" t="str">
        <f ca="1">Sprache!$A$128</f>
        <v>Пружина, оранжевая</v>
      </c>
      <c r="AO505" s="187" t="s">
        <v>25</v>
      </c>
      <c r="AP505" s="187" t="s">
        <v>25</v>
      </c>
      <c r="AQ505" s="187">
        <f>Limits!$K$9</f>
        <v>200</v>
      </c>
      <c r="AR505" s="124">
        <v>1200</v>
      </c>
      <c r="AS505" s="187"/>
      <c r="AT505" s="124"/>
      <c r="AV505"/>
      <c r="AX505" s="10"/>
      <c r="AY505" s="11"/>
      <c r="AZ505" s="2"/>
      <c r="BC505"/>
    </row>
    <row r="506" spans="1:55" hidden="1" x14ac:dyDescent="0.25">
      <c r="A506" s="12" t="str">
        <f ca="1">IF(F506+G506+H506+I506+J506+D506+E506=3,IF(Tabelle2[[#This Row],[Kappe Weiß]]=Limits!$R$29,1,""),"")</f>
        <v/>
      </c>
      <c r="B506" s="12" t="str">
        <f ca="1">IF(G506+H506+I506+J506+E506+F506=2,IF(Tabelle2[[#This Row],[Kappe Weiß]]=Limits!$R$29,1,""),"")</f>
        <v/>
      </c>
      <c r="C506" s="291">
        <v>1</v>
      </c>
      <c r="D506" s="171">
        <f>IF(Limits!$P$7=TRUE,1,0)</f>
        <v>0</v>
      </c>
      <c r="E506" s="172">
        <f>IF(Daten!$P506+Daten!$Q506+Daten!$S506=3,1,0)</f>
        <v>0</v>
      </c>
      <c r="F506" s="173">
        <f ca="1">IF(AND(Limits!$Q$21=TRUE,Daten!O506=1)=TRUE,1,0)</f>
        <v>0</v>
      </c>
      <c r="G506" s="174">
        <f>IF(AND(Limits!$Q$25=TRUE,Daten!N506=1)=TRUE,1,0)</f>
        <v>0</v>
      </c>
      <c r="H506" s="174">
        <f>IF(AND(Limits!$Q$24=TRUE,Daten!M506=1)=TRUE,1,0)</f>
        <v>0</v>
      </c>
      <c r="I506" s="174">
        <f>IF(AND(Limits!$Q$23=TRUE,Daten!L506=1)=TRUE,1,0)</f>
        <v>0</v>
      </c>
      <c r="J506" s="174">
        <f>IF(AND(Limits!$Q$22=TRUE,Daten!K506=1)=TRUE,1,0)</f>
        <v>0</v>
      </c>
      <c r="K506" s="188">
        <f>IF(Daten!$V506=13,1,0)</f>
        <v>1</v>
      </c>
      <c r="L506" s="189">
        <f>IF(Daten!$V506&lt;&gt;Daten!$W506,1,IF(Daten!$V506=14,1,0))</f>
        <v>0</v>
      </c>
      <c r="M506" s="189">
        <f>IF(Daten!$V506&lt;&gt;Daten!$W506,1,IF(Daten!$V506=16,1,0))</f>
        <v>0</v>
      </c>
      <c r="N506" s="189">
        <f>IF(Daten!$W506=17,1,0)</f>
        <v>0</v>
      </c>
      <c r="O506" s="190">
        <f ca="1">IF(Daten!$X506=Sprache!$A$70,1,0)</f>
        <v>0</v>
      </c>
      <c r="P506" s="191">
        <f>IF(AND(Daten!$AQ506&lt;=KINVARO!$AW$3,Daten!$AR506&gt;=KINVARO!$AW$3)=TRUE,1,0)</f>
        <v>1</v>
      </c>
      <c r="Q506" s="192">
        <f>IF(AND(Daten!$AA506&lt;=KINVARO!$AW$4,Daten!$AB506&gt;=KINVARO!$AW$4)=TRUE,1,0)</f>
        <v>0</v>
      </c>
      <c r="R506" s="192"/>
      <c r="S506" s="192">
        <f>IF(AND(Daten!$AD506&lt;=Limits!$I$70,Daten!$AE506&gt;=Limits!$I$70)=TRUE,1,0)</f>
        <v>0</v>
      </c>
      <c r="T506" s="193">
        <f ca="1">IF(Daten!$Y506=Sprache!$A$135,1,0)</f>
        <v>0</v>
      </c>
      <c r="U506" s="124" t="str">
        <f ca="1">Sprache!$A$67</f>
        <v>T-70 Поворотный подъемник</v>
      </c>
      <c r="V506" s="194">
        <v>13</v>
      </c>
      <c r="W506" s="193">
        <v>13</v>
      </c>
      <c r="X506" s="187" t="str">
        <f ca="1">Sprache!$A$141</f>
        <v>Alu</v>
      </c>
      <c r="Y506" s="187" t="str">
        <f ca="1">Sprache!$A$136</f>
        <v>nein</v>
      </c>
      <c r="Z506" s="187" t="str">
        <f ca="1">Sprache!$A$79</f>
        <v>Створка</v>
      </c>
      <c r="AA506" s="187">
        <v>600</v>
      </c>
      <c r="AB506" s="124">
        <v>600</v>
      </c>
      <c r="AC506" s="187"/>
      <c r="AD506" s="195">
        <v>1.4</v>
      </c>
      <c r="AE506" s="196">
        <v>3.3</v>
      </c>
      <c r="AF506" s="263" t="str">
        <f>MID(Tabelle2[[#This Row],[bnr full]],1,4)</f>
        <v>F151</v>
      </c>
      <c r="AG506" s="264" t="str">
        <f>MID(Tabelle2[[#This Row],[bnr full]],5,3)</f>
        <v>147</v>
      </c>
      <c r="AH506" s="265" t="str">
        <f>MID(Tabelle2[[#This Row],[bnr full]],8,3)</f>
        <v>807</v>
      </c>
      <c r="AI506" s="264" t="str">
        <f>MID(Tabelle2[[#This Row],[bnr full]],11,3)</f>
        <v>201</v>
      </c>
      <c r="AJ506" s="252" t="str">
        <f>MID(Tabelle2[[#This Row],[bnr full]],11,3)</f>
        <v>201</v>
      </c>
      <c r="AK506" s="197" t="s">
        <v>1663</v>
      </c>
      <c r="AL506" s="124" t="str">
        <f ca="1">Sprache!$A$111</f>
        <v>Комплект (Л + П)</v>
      </c>
      <c r="AM506" s="187" t="s">
        <v>25</v>
      </c>
      <c r="AN506" s="187" t="str">
        <f ca="1">Sprache!$A$127</f>
        <v>Пружина, белая</v>
      </c>
      <c r="AO506" s="187" t="s">
        <v>25</v>
      </c>
      <c r="AP506" s="187" t="s">
        <v>25</v>
      </c>
      <c r="AQ506" s="187">
        <f>Limits!$K$9</f>
        <v>200</v>
      </c>
      <c r="AR506" s="124">
        <v>1200</v>
      </c>
      <c r="AS506" s="187"/>
      <c r="AT506" s="124"/>
      <c r="AV506"/>
      <c r="AX506" s="10"/>
      <c r="AY506" s="11"/>
      <c r="AZ506" s="2"/>
      <c r="BC506"/>
    </row>
    <row r="507" spans="1:55" hidden="1" x14ac:dyDescent="0.25">
      <c r="A507" s="12" t="str">
        <f ca="1">IF(F507+G507+H507+I507+J507+D507+E507=3,IF(Tabelle2[[#This Row],[Kappe Weiß]]=Limits!$R$29,1,""),"")</f>
        <v/>
      </c>
      <c r="B507" s="12" t="str">
        <f ca="1">IF(G507+H507+I507+J507+E507+F507=2,IF(Tabelle2[[#This Row],[Kappe Weiß]]=Limits!$R$29,1,""),"")</f>
        <v/>
      </c>
      <c r="C507" s="291">
        <v>1</v>
      </c>
      <c r="D507" s="171">
        <f>IF(Limits!$P$7=TRUE,1,0)</f>
        <v>0</v>
      </c>
      <c r="E507" s="172">
        <f>IF(Daten!$P507+Daten!$Q507+Daten!$S507=3,1,0)</f>
        <v>0</v>
      </c>
      <c r="F507" s="173">
        <f ca="1">IF(AND(Limits!$Q$21=TRUE,Daten!O507=1)=TRUE,1,0)</f>
        <v>0</v>
      </c>
      <c r="G507" s="174">
        <f>IF(AND(Limits!$Q$25=TRUE,Daten!N507=1)=TRUE,1,0)</f>
        <v>0</v>
      </c>
      <c r="H507" s="174">
        <f>IF(AND(Limits!$Q$24=TRUE,Daten!M507=1)=TRUE,1,0)</f>
        <v>0</v>
      </c>
      <c r="I507" s="174">
        <f>IF(AND(Limits!$Q$23=TRUE,Daten!L507=1)=TRUE,1,0)</f>
        <v>0</v>
      </c>
      <c r="J507" s="174">
        <f>IF(AND(Limits!$Q$22=TRUE,Daten!K507=1)=TRUE,1,0)</f>
        <v>0</v>
      </c>
      <c r="K507" s="188">
        <f>IF(Daten!$V507=13,1,0)</f>
        <v>1</v>
      </c>
      <c r="L507" s="189">
        <f>IF(Daten!$V507&lt;&gt;Daten!$W507,1,IF(Daten!$V507=14,1,0))</f>
        <v>0</v>
      </c>
      <c r="M507" s="189">
        <f>IF(Daten!$V507&lt;&gt;Daten!$W507,1,IF(Daten!$V507=16,1,0))</f>
        <v>0</v>
      </c>
      <c r="N507" s="189">
        <f>IF(Daten!$W507=17,1,0)</f>
        <v>0</v>
      </c>
      <c r="O507" s="190">
        <f ca="1">IF(Daten!$X507=Sprache!$A$70,1,0)</f>
        <v>0</v>
      </c>
      <c r="P507" s="191">
        <f>IF(AND(Daten!$AQ507&lt;=KINVARO!$AW$3,Daten!$AR507&gt;=KINVARO!$AW$3)=TRUE,1,0)</f>
        <v>1</v>
      </c>
      <c r="Q507" s="192">
        <f>IF(AND(Daten!$AA507&lt;=KINVARO!$AW$4,Daten!$AB507&gt;=KINVARO!$AW$4)=TRUE,1,0)</f>
        <v>0</v>
      </c>
      <c r="R507" s="192"/>
      <c r="S507" s="192">
        <f>IF(AND(Daten!$AD507&lt;=Limits!$I$70,Daten!$AE507&gt;=Limits!$I$70)=TRUE,1,0)</f>
        <v>0</v>
      </c>
      <c r="T507" s="193">
        <f ca="1">IF(Daten!$Y507=Sprache!$A$135,1,0)</f>
        <v>0</v>
      </c>
      <c r="U507" s="124" t="str">
        <f ca="1">Sprache!$A$67</f>
        <v>T-70 Поворотный подъемник</v>
      </c>
      <c r="V507" s="194">
        <v>13</v>
      </c>
      <c r="W507" s="193">
        <v>13</v>
      </c>
      <c r="X507" s="187" t="str">
        <f ca="1">Sprache!$A$141</f>
        <v>Alu</v>
      </c>
      <c r="Y507" s="187" t="str">
        <f ca="1">Sprache!$A$136</f>
        <v>nein</v>
      </c>
      <c r="Z507" s="187" t="str">
        <f ca="1">Sprache!$A$79</f>
        <v>Створка</v>
      </c>
      <c r="AA507" s="187">
        <v>600</v>
      </c>
      <c r="AB507" s="124">
        <v>600</v>
      </c>
      <c r="AC507" s="187"/>
      <c r="AD507" s="195">
        <v>1.4</v>
      </c>
      <c r="AE507" s="196">
        <v>4.2</v>
      </c>
      <c r="AF507" s="263" t="str">
        <f>MID(Tabelle2[[#This Row],[bnr full]],1,4)</f>
        <v>F151</v>
      </c>
      <c r="AG507" s="264" t="str">
        <f>MID(Tabelle2[[#This Row],[bnr full]],5,3)</f>
        <v>147</v>
      </c>
      <c r="AH507" s="265" t="str">
        <f>MID(Tabelle2[[#This Row],[bnr full]],8,3)</f>
        <v>807</v>
      </c>
      <c r="AI507" s="264" t="str">
        <f>MID(Tabelle2[[#This Row],[bnr full]],11,3)</f>
        <v>201</v>
      </c>
      <c r="AJ507" s="252" t="str">
        <f>MID(Tabelle2[[#This Row],[bnr full]],11,3)</f>
        <v>201</v>
      </c>
      <c r="AK507" s="197" t="s">
        <v>1663</v>
      </c>
      <c r="AL507" s="124" t="str">
        <f ca="1">Sprache!$A$111</f>
        <v>Комплект (Л + П)</v>
      </c>
      <c r="AM507" s="187" t="s">
        <v>25</v>
      </c>
      <c r="AN507" s="187" t="str">
        <f ca="1">Sprache!$A$128</f>
        <v>Пружина, оранжевая</v>
      </c>
      <c r="AO507" s="187" t="s">
        <v>25</v>
      </c>
      <c r="AP507" s="187" t="s">
        <v>25</v>
      </c>
      <c r="AQ507" s="187">
        <f>Limits!$K$9</f>
        <v>200</v>
      </c>
      <c r="AR507" s="124">
        <v>1200</v>
      </c>
      <c r="AS507" s="187"/>
      <c r="AT507" s="124"/>
      <c r="AV507"/>
      <c r="AX507" s="10"/>
      <c r="AY507" s="11"/>
      <c r="AZ507" s="2"/>
      <c r="BC507"/>
    </row>
    <row r="508" spans="1:55" hidden="1" x14ac:dyDescent="0.25">
      <c r="A508" s="12" t="str">
        <f ca="1">IF(F508+G508+H508+I508+J508+D508+E508=3,IF(Tabelle2[[#This Row],[Kappe Weiß]]=Limits!$R$29,1,""),"")</f>
        <v/>
      </c>
      <c r="B508" s="12" t="str">
        <f ca="1">IF(G508+H508+I508+J508+E508+F508=2,IF(Tabelle2[[#This Row],[Kappe Weiß]]=Limits!$R$29,1,""),"")</f>
        <v/>
      </c>
      <c r="C508" s="291">
        <v>1</v>
      </c>
      <c r="D508" s="171">
        <f>IF(Limits!$P$7=TRUE,1,0)</f>
        <v>0</v>
      </c>
      <c r="E508" s="172">
        <f>IF(Daten!$P508+Daten!$Q508+Daten!$S508=3,1,0)</f>
        <v>0</v>
      </c>
      <c r="F508" s="173">
        <f ca="1">IF(AND(Limits!$Q$21=TRUE,Daten!O508=1)=TRUE,1,0)</f>
        <v>0</v>
      </c>
      <c r="G508" s="174">
        <f>IF(AND(Limits!$Q$25=TRUE,Daten!N508=1)=TRUE,1,0)</f>
        <v>0</v>
      </c>
      <c r="H508" s="174">
        <f>IF(AND(Limits!$Q$24=TRUE,Daten!M508=1)=TRUE,1,0)</f>
        <v>0</v>
      </c>
      <c r="I508" s="174">
        <f>IF(AND(Limits!$Q$23=TRUE,Daten!L508=1)=TRUE,1,0)</f>
        <v>0</v>
      </c>
      <c r="J508" s="174">
        <f>IF(AND(Limits!$Q$22=TRUE,Daten!K508=1)=TRUE,1,0)</f>
        <v>0</v>
      </c>
      <c r="K508" s="188">
        <f>IF(Daten!$V508=13,1,0)</f>
        <v>0</v>
      </c>
      <c r="L508" s="189">
        <f>IF(Daten!$V508&lt;&gt;Daten!$W508,1,IF(Daten!$V508=14,1,0))</f>
        <v>1</v>
      </c>
      <c r="M508" s="189">
        <f>IF(Daten!$V508&lt;&gt;Daten!$W508,1,IF(Daten!$V508=16,1,0))</f>
        <v>0</v>
      </c>
      <c r="N508" s="189">
        <f>IF(Daten!$W508=17,1,0)</f>
        <v>0</v>
      </c>
      <c r="O508" s="190">
        <f ca="1">IF(Daten!$X508=Sprache!$A$70,1,0)</f>
        <v>0</v>
      </c>
      <c r="P508" s="191">
        <f>IF(AND(Daten!$AQ508&lt;=KINVARO!$AW$3,Daten!$AR508&gt;=KINVARO!$AW$3)=TRUE,1,0)</f>
        <v>1</v>
      </c>
      <c r="Q508" s="192">
        <f>IF(AND(Daten!$AA508&lt;=KINVARO!$AW$4,Daten!$AB508&gt;=KINVARO!$AW$4)=TRUE,1,0)</f>
        <v>0</v>
      </c>
      <c r="R508" s="192"/>
      <c r="S508" s="192">
        <f>IF(AND(Daten!$AD508&lt;=Limits!$I$70,Daten!$AE508&gt;=Limits!$I$70)=TRUE,1,0)</f>
        <v>0</v>
      </c>
      <c r="T508" s="193">
        <f ca="1">IF(Daten!$Y508=Sprache!$A$135,1,0)</f>
        <v>0</v>
      </c>
      <c r="U508" s="124" t="str">
        <f ca="1">Sprache!$A$67</f>
        <v>T-70 Поворотный подъемник</v>
      </c>
      <c r="V508" s="194">
        <v>14</v>
      </c>
      <c r="W508" s="193">
        <v>14</v>
      </c>
      <c r="X508" s="187" t="str">
        <f ca="1">Sprache!$A$141</f>
        <v>Alu</v>
      </c>
      <c r="Y508" s="187" t="str">
        <f ca="1">Sprache!$A$136</f>
        <v>nein</v>
      </c>
      <c r="Z508" s="187" t="str">
        <f ca="1">Sprache!$A$79</f>
        <v>Створка</v>
      </c>
      <c r="AA508" s="187">
        <v>600</v>
      </c>
      <c r="AB508" s="124">
        <v>600</v>
      </c>
      <c r="AC508" s="187"/>
      <c r="AD508" s="195">
        <v>1.4</v>
      </c>
      <c r="AE508" s="196">
        <v>3.3</v>
      </c>
      <c r="AF508" s="263" t="str">
        <f>MID(Tabelle2[[#This Row],[bnr full]],1,4)</f>
        <v>F151</v>
      </c>
      <c r="AG508" s="264" t="str">
        <f>MID(Tabelle2[[#This Row],[bnr full]],5,3)</f>
        <v>147</v>
      </c>
      <c r="AH508" s="265" t="str">
        <f>MID(Tabelle2[[#This Row],[bnr full]],8,3)</f>
        <v>808</v>
      </c>
      <c r="AI508" s="264" t="str">
        <f>MID(Tabelle2[[#This Row],[bnr full]],11,3)</f>
        <v>201</v>
      </c>
      <c r="AJ508" s="252" t="str">
        <f>MID(Tabelle2[[#This Row],[bnr full]],11,3)</f>
        <v>201</v>
      </c>
      <c r="AK508" s="197" t="s">
        <v>1664</v>
      </c>
      <c r="AL508" s="124" t="str">
        <f ca="1">Sprache!$A$111</f>
        <v>Комплект (Л + П)</v>
      </c>
      <c r="AM508" s="187" t="s">
        <v>25</v>
      </c>
      <c r="AN508" s="187" t="str">
        <f ca="1">Sprache!$A$127</f>
        <v>Пружина, белая</v>
      </c>
      <c r="AO508" s="187" t="s">
        <v>25</v>
      </c>
      <c r="AP508" s="187" t="s">
        <v>25</v>
      </c>
      <c r="AQ508" s="187">
        <f>Limits!$K$9</f>
        <v>200</v>
      </c>
      <c r="AR508" s="124">
        <v>1200</v>
      </c>
      <c r="AS508" s="187"/>
      <c r="AT508" s="124"/>
      <c r="AV508"/>
      <c r="AX508" s="10"/>
      <c r="AY508" s="11"/>
      <c r="AZ508" s="2"/>
      <c r="BC508"/>
    </row>
    <row r="509" spans="1:55" hidden="1" x14ac:dyDescent="0.25">
      <c r="A509" s="12" t="str">
        <f ca="1">IF(F509+G509+H509+I509+J509+D509+E509=3,IF(Tabelle2[[#This Row],[Kappe Weiß]]=Limits!$R$29,1,""),"")</f>
        <v/>
      </c>
      <c r="B509" s="12" t="str">
        <f ca="1">IF(G509+H509+I509+J509+E509+F509=2,IF(Tabelle2[[#This Row],[Kappe Weiß]]=Limits!$R$29,1,""),"")</f>
        <v/>
      </c>
      <c r="C509" s="291">
        <v>1</v>
      </c>
      <c r="D509" s="171">
        <f>IF(Limits!$P$7=TRUE,1,0)</f>
        <v>0</v>
      </c>
      <c r="E509" s="172">
        <f>IF(Daten!$P509+Daten!$Q509+Daten!$S509=3,1,0)</f>
        <v>0</v>
      </c>
      <c r="F509" s="173">
        <f ca="1">IF(AND(Limits!$Q$21=TRUE,Daten!O509=1)=TRUE,1,0)</f>
        <v>0</v>
      </c>
      <c r="G509" s="174">
        <f>IF(AND(Limits!$Q$25=TRUE,Daten!N509=1)=TRUE,1,0)</f>
        <v>0</v>
      </c>
      <c r="H509" s="174">
        <f>IF(AND(Limits!$Q$24=TRUE,Daten!M509=1)=TRUE,1,0)</f>
        <v>0</v>
      </c>
      <c r="I509" s="174">
        <f>IF(AND(Limits!$Q$23=TRUE,Daten!L509=1)=TRUE,1,0)</f>
        <v>0</v>
      </c>
      <c r="J509" s="174">
        <f>IF(AND(Limits!$Q$22=TRUE,Daten!K509=1)=TRUE,1,0)</f>
        <v>0</v>
      </c>
      <c r="K509" s="188">
        <f>IF(Daten!$V509=13,1,0)</f>
        <v>0</v>
      </c>
      <c r="L509" s="189">
        <f>IF(Daten!$V509&lt;&gt;Daten!$W509,1,IF(Daten!$V509=14,1,0))</f>
        <v>1</v>
      </c>
      <c r="M509" s="189">
        <f>IF(Daten!$V509&lt;&gt;Daten!$W509,1,IF(Daten!$V509=16,1,0))</f>
        <v>0</v>
      </c>
      <c r="N509" s="189">
        <f>IF(Daten!$W509=17,1,0)</f>
        <v>0</v>
      </c>
      <c r="O509" s="190">
        <f ca="1">IF(Daten!$X509=Sprache!$A$70,1,0)</f>
        <v>0</v>
      </c>
      <c r="P509" s="191">
        <f>IF(AND(Daten!$AQ509&lt;=KINVARO!$AW$3,Daten!$AR509&gt;=KINVARO!$AW$3)=TRUE,1,0)</f>
        <v>1</v>
      </c>
      <c r="Q509" s="192">
        <f>IF(AND(Daten!$AA509&lt;=KINVARO!$AW$4,Daten!$AB509&gt;=KINVARO!$AW$4)=TRUE,1,0)</f>
        <v>0</v>
      </c>
      <c r="R509" s="192"/>
      <c r="S509" s="192">
        <f>IF(AND(Daten!$AD509&lt;=Limits!$I$70,Daten!$AE509&gt;=Limits!$I$70)=TRUE,1,0)</f>
        <v>0</v>
      </c>
      <c r="T509" s="193">
        <f ca="1">IF(Daten!$Y509=Sprache!$A$135,1,0)</f>
        <v>0</v>
      </c>
      <c r="U509" s="124" t="str">
        <f ca="1">Sprache!$A$67</f>
        <v>T-70 Поворотный подъемник</v>
      </c>
      <c r="V509" s="194">
        <v>14</v>
      </c>
      <c r="W509" s="193">
        <v>14</v>
      </c>
      <c r="X509" s="187" t="str">
        <f ca="1">Sprache!$A$141</f>
        <v>Alu</v>
      </c>
      <c r="Y509" s="187" t="str">
        <f ca="1">Sprache!$A$136</f>
        <v>nein</v>
      </c>
      <c r="Z509" s="187" t="str">
        <f ca="1">Sprache!$A$79</f>
        <v>Створка</v>
      </c>
      <c r="AA509" s="187">
        <v>600</v>
      </c>
      <c r="AB509" s="124">
        <v>600</v>
      </c>
      <c r="AC509" s="187"/>
      <c r="AD509" s="195">
        <v>1.4</v>
      </c>
      <c r="AE509" s="196">
        <v>4.2</v>
      </c>
      <c r="AF509" s="263" t="str">
        <f>MID(Tabelle2[[#This Row],[bnr full]],1,4)</f>
        <v>F151</v>
      </c>
      <c r="AG509" s="264" t="str">
        <f>MID(Tabelle2[[#This Row],[bnr full]],5,3)</f>
        <v>147</v>
      </c>
      <c r="AH509" s="265" t="str">
        <f>MID(Tabelle2[[#This Row],[bnr full]],8,3)</f>
        <v>808</v>
      </c>
      <c r="AI509" s="264" t="str">
        <f>MID(Tabelle2[[#This Row],[bnr full]],11,3)</f>
        <v>201</v>
      </c>
      <c r="AJ509" s="252" t="str">
        <f>MID(Tabelle2[[#This Row],[bnr full]],11,3)</f>
        <v>201</v>
      </c>
      <c r="AK509" s="197" t="s">
        <v>1664</v>
      </c>
      <c r="AL509" s="124" t="str">
        <f ca="1">Sprache!$A$111</f>
        <v>Комплект (Л + П)</v>
      </c>
      <c r="AM509" s="187" t="s">
        <v>25</v>
      </c>
      <c r="AN509" s="187" t="str">
        <f ca="1">Sprache!$A$128</f>
        <v>Пружина, оранжевая</v>
      </c>
      <c r="AO509" s="187" t="s">
        <v>25</v>
      </c>
      <c r="AP509" s="187" t="s">
        <v>25</v>
      </c>
      <c r="AQ509" s="187">
        <f>Limits!$K$9</f>
        <v>200</v>
      </c>
      <c r="AR509" s="124">
        <v>1200</v>
      </c>
      <c r="AS509" s="187"/>
      <c r="AT509" s="124"/>
      <c r="AV509"/>
      <c r="AX509" s="10"/>
      <c r="AY509" s="11"/>
      <c r="AZ509" s="2"/>
      <c r="BC509"/>
    </row>
    <row r="510" spans="1:55" hidden="1" x14ac:dyDescent="0.25">
      <c r="A510" s="12" t="str">
        <f ca="1">IF(F510+G510+H510+I510+J510+D510+E510=3,IF(Tabelle2[[#This Row],[Kappe Weiß]]=Limits!$R$29,1,""),"")</f>
        <v/>
      </c>
      <c r="B510" s="12" t="str">
        <f ca="1">IF(G510+H510+I510+J510+E510+F510=2,IF(Tabelle2[[#This Row],[Kappe Weiß]]=Limits!$R$29,1,""),"")</f>
        <v/>
      </c>
      <c r="C510" s="291">
        <v>1</v>
      </c>
      <c r="D510" s="171">
        <f>IF(Limits!$P$7=TRUE,1,0)</f>
        <v>0</v>
      </c>
      <c r="E510" s="172">
        <f>IF(Daten!$P510+Daten!$Q510+Daten!$S510=3,1,0)</f>
        <v>0</v>
      </c>
      <c r="F510" s="173">
        <f ca="1">IF(AND(Limits!$Q$21=TRUE,Daten!O510=1)=TRUE,1,0)</f>
        <v>0</v>
      </c>
      <c r="G510" s="174">
        <f>IF(AND(Limits!$Q$25=TRUE,Daten!N510=1)=TRUE,1,0)</f>
        <v>0</v>
      </c>
      <c r="H510" s="174">
        <f>IF(AND(Limits!$Q$24=TRUE,Daten!M510=1)=TRUE,1,0)</f>
        <v>0</v>
      </c>
      <c r="I510" s="174">
        <f>IF(AND(Limits!$Q$23=TRUE,Daten!L510=1)=TRUE,1,0)</f>
        <v>0</v>
      </c>
      <c r="J510" s="174">
        <f>IF(AND(Limits!$Q$22=TRUE,Daten!K510=1)=TRUE,1,0)</f>
        <v>0</v>
      </c>
      <c r="K510" s="188">
        <f>IF(Daten!$V510=13,1,0)</f>
        <v>0</v>
      </c>
      <c r="L510" s="189">
        <f>IF(Daten!$V510&lt;&gt;Daten!$W510,1,IF(Daten!$V510=14,1,0))</f>
        <v>0</v>
      </c>
      <c r="M510" s="189">
        <f>IF(Daten!$V510&lt;&gt;Daten!$W510,1,IF(Daten!$V510=16,1,0))</f>
        <v>1</v>
      </c>
      <c r="N510" s="189">
        <f>IF(Daten!$W510=17,1,0)</f>
        <v>0</v>
      </c>
      <c r="O510" s="190">
        <f ca="1">IF(Daten!$X510=Sprache!$A$70,1,0)</f>
        <v>0</v>
      </c>
      <c r="P510" s="191">
        <f>IF(AND(Daten!$AQ510&lt;=KINVARO!$AW$3,Daten!$AR510&gt;=KINVARO!$AW$3)=TRUE,1,0)</f>
        <v>1</v>
      </c>
      <c r="Q510" s="192">
        <f>IF(AND(Daten!$AA510&lt;=KINVARO!$AW$4,Daten!$AB510&gt;=KINVARO!$AW$4)=TRUE,1,0)</f>
        <v>0</v>
      </c>
      <c r="R510" s="192"/>
      <c r="S510" s="192">
        <f>IF(AND(Daten!$AD510&lt;=Limits!$I$70,Daten!$AE510&gt;=Limits!$I$70)=TRUE,1,0)</f>
        <v>0</v>
      </c>
      <c r="T510" s="193">
        <f ca="1">IF(Daten!$Y510=Sprache!$A$135,1,0)</f>
        <v>0</v>
      </c>
      <c r="U510" s="124" t="str">
        <f ca="1">Sprache!$A$67</f>
        <v>T-70 Поворотный подъемник</v>
      </c>
      <c r="V510" s="194">
        <v>16</v>
      </c>
      <c r="W510" s="193">
        <v>16</v>
      </c>
      <c r="X510" s="187" t="str">
        <f ca="1">Sprache!$A$141</f>
        <v>Alu</v>
      </c>
      <c r="Y510" s="187" t="str">
        <f ca="1">Sprache!$A$136</f>
        <v>nein</v>
      </c>
      <c r="Z510" s="187" t="str">
        <f ca="1">Sprache!$A$79</f>
        <v>Створка</v>
      </c>
      <c r="AA510" s="187">
        <v>600</v>
      </c>
      <c r="AB510" s="124">
        <v>600</v>
      </c>
      <c r="AC510" s="187"/>
      <c r="AD510" s="195">
        <v>1.4</v>
      </c>
      <c r="AE510" s="196">
        <v>3.3</v>
      </c>
      <c r="AF510" s="263" t="str">
        <f>MID(Tabelle2[[#This Row],[bnr full]],1,4)</f>
        <v>F151</v>
      </c>
      <c r="AG510" s="264" t="str">
        <f>MID(Tabelle2[[#This Row],[bnr full]],5,3)</f>
        <v>147</v>
      </c>
      <c r="AH510" s="265" t="str">
        <f>MID(Tabelle2[[#This Row],[bnr full]],8,3)</f>
        <v>809</v>
      </c>
      <c r="AI510" s="264" t="str">
        <f>MID(Tabelle2[[#This Row],[bnr full]],11,3)</f>
        <v>201</v>
      </c>
      <c r="AJ510" s="252" t="str">
        <f>MID(Tabelle2[[#This Row],[bnr full]],11,3)</f>
        <v>201</v>
      </c>
      <c r="AK510" s="197" t="s">
        <v>1665</v>
      </c>
      <c r="AL510" s="124" t="str">
        <f ca="1">Sprache!$A$111</f>
        <v>Комплект (Л + П)</v>
      </c>
      <c r="AM510" s="187" t="s">
        <v>25</v>
      </c>
      <c r="AN510" s="187" t="str">
        <f ca="1">Sprache!$A$127</f>
        <v>Пружина, белая</v>
      </c>
      <c r="AO510" s="187" t="s">
        <v>25</v>
      </c>
      <c r="AP510" s="187" t="s">
        <v>25</v>
      </c>
      <c r="AQ510" s="187">
        <f>Limits!$K$9</f>
        <v>200</v>
      </c>
      <c r="AR510" s="124">
        <v>1200</v>
      </c>
      <c r="AS510" s="187"/>
      <c r="AT510" s="124"/>
      <c r="AV510"/>
      <c r="AX510" s="10"/>
      <c r="AY510" s="11"/>
      <c r="AZ510" s="2"/>
      <c r="BC510"/>
    </row>
    <row r="511" spans="1:55" hidden="1" x14ac:dyDescent="0.25">
      <c r="A511" s="12" t="str">
        <f ca="1">IF(F511+G511+H511+I511+J511+D511+E511=3,IF(Tabelle2[[#This Row],[Kappe Weiß]]=Limits!$R$29,1,""),"")</f>
        <v/>
      </c>
      <c r="B511" s="12" t="str">
        <f ca="1">IF(G511+H511+I511+J511+E511+F511=2,IF(Tabelle2[[#This Row],[Kappe Weiß]]=Limits!$R$29,1,""),"")</f>
        <v/>
      </c>
      <c r="C511" s="291">
        <v>1</v>
      </c>
      <c r="D511" s="171">
        <f>IF(Limits!$P$7=TRUE,1,0)</f>
        <v>0</v>
      </c>
      <c r="E511" s="172">
        <f>IF(Daten!$P511+Daten!$Q511+Daten!$S511=3,1,0)</f>
        <v>0</v>
      </c>
      <c r="F511" s="173">
        <f ca="1">IF(AND(Limits!$Q$21=TRUE,Daten!O511=1)=TRUE,1,0)</f>
        <v>0</v>
      </c>
      <c r="G511" s="174">
        <f>IF(AND(Limits!$Q$25=TRUE,Daten!N511=1)=TRUE,1,0)</f>
        <v>0</v>
      </c>
      <c r="H511" s="174">
        <f>IF(AND(Limits!$Q$24=TRUE,Daten!M511=1)=TRUE,1,0)</f>
        <v>0</v>
      </c>
      <c r="I511" s="174">
        <f>IF(AND(Limits!$Q$23=TRUE,Daten!L511=1)=TRUE,1,0)</f>
        <v>0</v>
      </c>
      <c r="J511" s="174">
        <f>IF(AND(Limits!$Q$22=TRUE,Daten!K511=1)=TRUE,1,0)</f>
        <v>0</v>
      </c>
      <c r="K511" s="188">
        <f>IF(Daten!$V511=13,1,0)</f>
        <v>0</v>
      </c>
      <c r="L511" s="189">
        <f>IF(Daten!$V511&lt;&gt;Daten!$W511,1,IF(Daten!$V511=14,1,0))</f>
        <v>0</v>
      </c>
      <c r="M511" s="189">
        <f>IF(Daten!$V511&lt;&gt;Daten!$W511,1,IF(Daten!$V511=16,1,0))</f>
        <v>1</v>
      </c>
      <c r="N511" s="189">
        <f>IF(Daten!$W511=17,1,0)</f>
        <v>0</v>
      </c>
      <c r="O511" s="190">
        <f ca="1">IF(Daten!$X511=Sprache!$A$70,1,0)</f>
        <v>0</v>
      </c>
      <c r="P511" s="191">
        <f>IF(AND(Daten!$AQ511&lt;=KINVARO!$AW$3,Daten!$AR511&gt;=KINVARO!$AW$3)=TRUE,1,0)</f>
        <v>1</v>
      </c>
      <c r="Q511" s="192">
        <f>IF(AND(Daten!$AA511&lt;=KINVARO!$AW$4,Daten!$AB511&gt;=KINVARO!$AW$4)=TRUE,1,0)</f>
        <v>0</v>
      </c>
      <c r="R511" s="192"/>
      <c r="S511" s="192">
        <f>IF(AND(Daten!$AD511&lt;=Limits!$I$70,Daten!$AE511&gt;=Limits!$I$70)=TRUE,1,0)</f>
        <v>0</v>
      </c>
      <c r="T511" s="193">
        <f ca="1">IF(Daten!$Y511=Sprache!$A$135,1,0)</f>
        <v>0</v>
      </c>
      <c r="U511" s="124" t="str">
        <f ca="1">Sprache!$A$67</f>
        <v>T-70 Поворотный подъемник</v>
      </c>
      <c r="V511" s="194">
        <v>16</v>
      </c>
      <c r="W511" s="193">
        <v>16</v>
      </c>
      <c r="X511" s="187" t="str">
        <f ca="1">Sprache!$A$141</f>
        <v>Alu</v>
      </c>
      <c r="Y511" s="187" t="str">
        <f ca="1">Sprache!$A$136</f>
        <v>nein</v>
      </c>
      <c r="Z511" s="187" t="str">
        <f ca="1">Sprache!$A$79</f>
        <v>Створка</v>
      </c>
      <c r="AA511" s="187">
        <v>600</v>
      </c>
      <c r="AB511" s="124">
        <v>600</v>
      </c>
      <c r="AC511" s="187"/>
      <c r="AD511" s="195">
        <v>1.4</v>
      </c>
      <c r="AE511" s="196">
        <v>4.2</v>
      </c>
      <c r="AF511" s="263" t="str">
        <f>MID(Tabelle2[[#This Row],[bnr full]],1,4)</f>
        <v>F151</v>
      </c>
      <c r="AG511" s="264" t="str">
        <f>MID(Tabelle2[[#This Row],[bnr full]],5,3)</f>
        <v>147</v>
      </c>
      <c r="AH511" s="265" t="str">
        <f>MID(Tabelle2[[#This Row],[bnr full]],8,3)</f>
        <v>809</v>
      </c>
      <c r="AI511" s="264" t="str">
        <f>MID(Tabelle2[[#This Row],[bnr full]],11,3)</f>
        <v>201</v>
      </c>
      <c r="AJ511" s="252" t="str">
        <f>MID(Tabelle2[[#This Row],[bnr full]],11,3)</f>
        <v>201</v>
      </c>
      <c r="AK511" s="197" t="s">
        <v>1665</v>
      </c>
      <c r="AL511" s="124" t="str">
        <f ca="1">Sprache!$A$111</f>
        <v>Комплект (Л + П)</v>
      </c>
      <c r="AM511" s="187" t="s">
        <v>25</v>
      </c>
      <c r="AN511" s="187" t="str">
        <f ca="1">Sprache!$A$128</f>
        <v>Пружина, оранжевая</v>
      </c>
      <c r="AO511" s="187" t="s">
        <v>25</v>
      </c>
      <c r="AP511" s="187" t="s">
        <v>25</v>
      </c>
      <c r="AQ511" s="187">
        <f>Limits!$K$9</f>
        <v>200</v>
      </c>
      <c r="AR511" s="124">
        <v>1200</v>
      </c>
      <c r="AS511" s="187"/>
      <c r="AT511" s="124"/>
      <c r="AV511"/>
      <c r="AX511" s="10"/>
      <c r="AY511" s="11"/>
      <c r="AZ511" s="2"/>
      <c r="BC511"/>
    </row>
    <row r="512" spans="1:55" hidden="1" x14ac:dyDescent="0.25">
      <c r="A512" s="12" t="str">
        <f ca="1">IF(F512+G512+H512+I512+J512+D512+E512=3,IF(Tabelle2[[#This Row],[Kappe Weiß]]=Limits!$R$29,1,""),"")</f>
        <v/>
      </c>
      <c r="B512" s="12" t="str">
        <f ca="1">IF(G512+H512+I512+J512+E512+F512=2,IF(Tabelle2[[#This Row],[Kappe Weiß]]=Limits!$R$29,1,""),"")</f>
        <v/>
      </c>
      <c r="C512" s="291">
        <v>1</v>
      </c>
      <c r="D512" s="171">
        <f>IF(Limits!$P$7=TRUE,1,0)</f>
        <v>0</v>
      </c>
      <c r="E512" s="172">
        <f>IF(Daten!$P512+Daten!$Q512+Daten!$S512=3,1,0)</f>
        <v>0</v>
      </c>
      <c r="F512" s="173">
        <f ca="1">IF(AND(Limits!$Q$21=TRUE,Daten!O512=1)=TRUE,1,0)</f>
        <v>0</v>
      </c>
      <c r="G512" s="174">
        <f>IF(AND(Limits!$Q$25=TRUE,Daten!N512=1)=TRUE,1,0)</f>
        <v>0</v>
      </c>
      <c r="H512" s="174">
        <f>IF(AND(Limits!$Q$24=TRUE,Daten!M512=1)=TRUE,1,0)</f>
        <v>0</v>
      </c>
      <c r="I512" s="174">
        <f>IF(AND(Limits!$Q$23=TRUE,Daten!L512=1)=TRUE,1,0)</f>
        <v>0</v>
      </c>
      <c r="J512" s="174">
        <f>IF(AND(Limits!$Q$22=TRUE,Daten!K512=1)=TRUE,1,0)</f>
        <v>0</v>
      </c>
      <c r="K512" s="188">
        <f>IF(Daten!$V512=13,1,0)</f>
        <v>0</v>
      </c>
      <c r="L512" s="189">
        <f>IF(Daten!$V512&lt;&gt;Daten!$W512,1,IF(Daten!$V512=14,1,0))</f>
        <v>0</v>
      </c>
      <c r="M512" s="189">
        <f>IF(Daten!$V512&lt;&gt;Daten!$W512,1,IF(Daten!$V512=16,1,0))</f>
        <v>0</v>
      </c>
      <c r="N512" s="189">
        <f>IF(Daten!$W512=17,1,0)</f>
        <v>1</v>
      </c>
      <c r="O512" s="190">
        <f ca="1">IF(Daten!$X512=Sprache!$A$70,1,0)</f>
        <v>0</v>
      </c>
      <c r="P512" s="191">
        <f>IF(AND(Daten!$AQ512&lt;=KINVARO!$AW$3,Daten!$AR512&gt;=KINVARO!$AW$3)=TRUE,1,0)</f>
        <v>1</v>
      </c>
      <c r="Q512" s="192">
        <f>IF(AND(Daten!$AA512&lt;=KINVARO!$AW$4,Daten!$AB512&gt;=KINVARO!$AW$4)=TRUE,1,0)</f>
        <v>0</v>
      </c>
      <c r="R512" s="192"/>
      <c r="S512" s="192">
        <f>IF(AND(Daten!$AD512&lt;=Limits!$I$70,Daten!$AE512&gt;=Limits!$I$70)=TRUE,1,0)</f>
        <v>0</v>
      </c>
      <c r="T512" s="193">
        <f ca="1">IF(Daten!$Y512=Sprache!$A$135,1,0)</f>
        <v>0</v>
      </c>
      <c r="U512" s="124" t="str">
        <f ca="1">Sprache!$A$67</f>
        <v>T-70 Поворотный подъемник</v>
      </c>
      <c r="V512" s="194">
        <v>17</v>
      </c>
      <c r="W512" s="193">
        <v>17</v>
      </c>
      <c r="X512" s="187" t="str">
        <f ca="1">Sprache!$A$141</f>
        <v>Alu</v>
      </c>
      <c r="Y512" s="187" t="str">
        <f ca="1">Sprache!$A$136</f>
        <v>nein</v>
      </c>
      <c r="Z512" s="187" t="str">
        <f ca="1">Sprache!$A$79</f>
        <v>Створка</v>
      </c>
      <c r="AA512" s="187">
        <v>600</v>
      </c>
      <c r="AB512" s="124">
        <v>600</v>
      </c>
      <c r="AC512" s="187"/>
      <c r="AD512" s="195">
        <v>1.4</v>
      </c>
      <c r="AE512" s="196">
        <v>3.3</v>
      </c>
      <c r="AF512" s="263" t="str">
        <f>MID(Tabelle2[[#This Row],[bnr full]],1,4)</f>
        <v>F151</v>
      </c>
      <c r="AG512" s="264" t="str">
        <f>MID(Tabelle2[[#This Row],[bnr full]],5,3)</f>
        <v>147</v>
      </c>
      <c r="AH512" s="265" t="str">
        <f>MID(Tabelle2[[#This Row],[bnr full]],8,3)</f>
        <v>810</v>
      </c>
      <c r="AI512" s="264" t="str">
        <f>MID(Tabelle2[[#This Row],[bnr full]],11,3)</f>
        <v>201</v>
      </c>
      <c r="AJ512" s="252" t="str">
        <f>MID(Tabelle2[[#This Row],[bnr full]],11,3)</f>
        <v>201</v>
      </c>
      <c r="AK512" s="197" t="s">
        <v>1666</v>
      </c>
      <c r="AL512" s="124" t="str">
        <f ca="1">Sprache!$A$111</f>
        <v>Комплект (Л + П)</v>
      </c>
      <c r="AM512" s="187" t="s">
        <v>25</v>
      </c>
      <c r="AN512" s="187" t="str">
        <f ca="1">Sprache!$A$127</f>
        <v>Пружина, белая</v>
      </c>
      <c r="AO512" s="187" t="s">
        <v>25</v>
      </c>
      <c r="AP512" s="187" t="s">
        <v>25</v>
      </c>
      <c r="AQ512" s="187">
        <f>Limits!$K$9</f>
        <v>200</v>
      </c>
      <c r="AR512" s="124">
        <v>1200</v>
      </c>
      <c r="AS512" s="187"/>
      <c r="AT512" s="124"/>
      <c r="AV512"/>
      <c r="AX512" s="10"/>
      <c r="AY512" s="11"/>
      <c r="AZ512" s="2"/>
      <c r="BC512"/>
    </row>
    <row r="513" spans="1:55" hidden="1" x14ac:dyDescent="0.25">
      <c r="A513" s="12" t="str">
        <f ca="1">IF(F513+G513+H513+I513+J513+D513+E513=3,IF(Tabelle2[[#This Row],[Kappe Weiß]]=Limits!$R$29,1,""),"")</f>
        <v/>
      </c>
      <c r="B513" s="12" t="str">
        <f ca="1">IF(G513+H513+I513+J513+E513+F513=2,IF(Tabelle2[[#This Row],[Kappe Weiß]]=Limits!$R$29,1,""),"")</f>
        <v/>
      </c>
      <c r="C513" s="291">
        <v>1</v>
      </c>
      <c r="D513" s="207">
        <f>IF(Limits!$P$7=TRUE,1,0)</f>
        <v>0</v>
      </c>
      <c r="E513" s="172">
        <f>IF(Daten!$P513+Daten!$Q513+Daten!$S513=3,1,0)</f>
        <v>0</v>
      </c>
      <c r="F513" s="173">
        <f ca="1">IF(AND(Limits!$Q$21=TRUE,Daten!O513=1)=TRUE,1,0)</f>
        <v>0</v>
      </c>
      <c r="G513" s="174">
        <f>IF(AND(Limits!$Q$25=TRUE,Daten!N513=1)=TRUE,1,0)</f>
        <v>0</v>
      </c>
      <c r="H513" s="174">
        <f>IF(AND(Limits!$Q$24=TRUE,Daten!M513=1)=TRUE,1,0)</f>
        <v>0</v>
      </c>
      <c r="I513" s="174">
        <f>IF(AND(Limits!$Q$23=TRUE,Daten!L513=1)=TRUE,1,0)</f>
        <v>0</v>
      </c>
      <c r="J513" s="174">
        <f>IF(AND(Limits!$Q$22=TRUE,Daten!K513=1)=TRUE,1,0)</f>
        <v>0</v>
      </c>
      <c r="K513" s="188">
        <f>IF(Daten!$V513=13,1,0)</f>
        <v>0</v>
      </c>
      <c r="L513" s="189">
        <f>IF(Daten!$V513&lt;&gt;Daten!$W513,1,IF(Daten!$V513=14,1,0))</f>
        <v>0</v>
      </c>
      <c r="M513" s="189">
        <f>IF(Daten!$V513&lt;&gt;Daten!$W513,1,IF(Daten!$V513=16,1,0))</f>
        <v>0</v>
      </c>
      <c r="N513" s="189">
        <f>IF(Daten!$W513=17,1,0)</f>
        <v>1</v>
      </c>
      <c r="O513" s="190">
        <f ca="1">IF(Daten!$X513=Sprache!$A$70,1,0)</f>
        <v>0</v>
      </c>
      <c r="P513" s="191">
        <f>IF(AND(Daten!$AQ513&lt;=KINVARO!$AW$3,Daten!$AR513&gt;=KINVARO!$AW$3)=TRUE,1,0)</f>
        <v>1</v>
      </c>
      <c r="Q513" s="192">
        <f>IF(AND(Daten!$AA513&lt;=KINVARO!$AW$4,Daten!$AB513&gt;=KINVARO!$AW$4)=TRUE,1,0)</f>
        <v>0</v>
      </c>
      <c r="R513" s="192"/>
      <c r="S513" s="192">
        <f>IF(AND(Daten!$AD513&lt;=Limits!$I$70,Daten!$AE513&gt;=Limits!$I$70)=TRUE,1,0)</f>
        <v>0</v>
      </c>
      <c r="T513" s="193">
        <f ca="1">IF(Daten!$Y513=Sprache!$A$135,1,0)</f>
        <v>0</v>
      </c>
      <c r="U513" s="124" t="str">
        <f ca="1">Sprache!$A$67</f>
        <v>T-70 Поворотный подъемник</v>
      </c>
      <c r="V513" s="194">
        <v>17</v>
      </c>
      <c r="W513" s="193">
        <v>17</v>
      </c>
      <c r="X513" s="187" t="str">
        <f ca="1">Sprache!$A$141</f>
        <v>Alu</v>
      </c>
      <c r="Y513" s="187" t="str">
        <f ca="1">Sprache!$A$136</f>
        <v>nein</v>
      </c>
      <c r="Z513" s="187" t="str">
        <f ca="1">Sprache!$A$79</f>
        <v>Створка</v>
      </c>
      <c r="AA513" s="187">
        <v>600</v>
      </c>
      <c r="AB513" s="124">
        <v>600</v>
      </c>
      <c r="AC513" s="187"/>
      <c r="AD513" s="195">
        <v>1.4</v>
      </c>
      <c r="AE513" s="196">
        <v>4.2</v>
      </c>
      <c r="AF513" s="263" t="str">
        <f>MID(Tabelle2[[#This Row],[bnr full]],1,4)</f>
        <v>F151</v>
      </c>
      <c r="AG513" s="264" t="str">
        <f>MID(Tabelle2[[#This Row],[bnr full]],5,3)</f>
        <v>147</v>
      </c>
      <c r="AH513" s="265" t="str">
        <f>MID(Tabelle2[[#This Row],[bnr full]],8,3)</f>
        <v>810</v>
      </c>
      <c r="AI513" s="264" t="str">
        <f>MID(Tabelle2[[#This Row],[bnr full]],11,3)</f>
        <v>201</v>
      </c>
      <c r="AJ513" s="252" t="str">
        <f>MID(Tabelle2[[#This Row],[bnr full]],11,3)</f>
        <v>201</v>
      </c>
      <c r="AK513" s="197" t="s">
        <v>1666</v>
      </c>
      <c r="AL513" s="124" t="str">
        <f ca="1">Sprache!$A$111</f>
        <v>Комплект (Л + П)</v>
      </c>
      <c r="AM513" s="187" t="s">
        <v>25</v>
      </c>
      <c r="AN513" s="187" t="str">
        <f ca="1">Sprache!$A$128</f>
        <v>Пружина, оранжевая</v>
      </c>
      <c r="AO513" s="187" t="s">
        <v>25</v>
      </c>
      <c r="AP513" s="187" t="s">
        <v>25</v>
      </c>
      <c r="AQ513" s="187">
        <f>Limits!$K$9</f>
        <v>200</v>
      </c>
      <c r="AR513" s="124">
        <v>1200</v>
      </c>
      <c r="AS513" s="187"/>
      <c r="AT513" s="124"/>
      <c r="AV513"/>
      <c r="AX513" s="10"/>
      <c r="AY513" s="11"/>
      <c r="AZ513" s="2"/>
      <c r="BC513"/>
    </row>
    <row r="514" spans="1:55" ht="15.75" hidden="1" thickTop="1" x14ac:dyDescent="0.25">
      <c r="A514" s="12" t="str">
        <f ca="1">IF(F514+G514+H514+I514+J514+D514+E514=3,IF(Tabelle2[[#This Row],[Kappe Weiß]]=Limits!$R$29,1,""),"")</f>
        <v/>
      </c>
      <c r="B514" s="12" t="str">
        <f ca="1">IF(G514+H514+I514+J514+E514+F514=2,IF(Tabelle2[[#This Row],[Kappe Weiß]]=Limits!$R$29,1,""),"")</f>
        <v/>
      </c>
      <c r="C514" s="293">
        <v>0</v>
      </c>
      <c r="D514" s="171">
        <f>IF(Limits!$P$6=TRUE,1,0)</f>
        <v>0</v>
      </c>
      <c r="E514" s="172">
        <f>IF(Daten!$P514+Daten!$Q514+Daten!$S514=3,1,0)</f>
        <v>0</v>
      </c>
      <c r="F514" s="173">
        <f ca="1">IF(AND(Limits!$Q$21=TRUE,Daten!O514=1)=TRUE,1,0)</f>
        <v>1</v>
      </c>
      <c r="G514" s="174">
        <f ca="1">IF(AND(Limits!$Q$25=TRUE,Daten!N514=1)=TRUE,1,0)</f>
        <v>0</v>
      </c>
      <c r="H514" s="174">
        <f ca="1">IF(AND(Limits!$Q$24=TRUE,Daten!M514=1)=TRUE,1,0)</f>
        <v>0</v>
      </c>
      <c r="I514" s="174">
        <f ca="1">IF(AND(Limits!$Q$23=TRUE,Daten!L514=1)=TRUE,1,0)</f>
        <v>0</v>
      </c>
      <c r="J514" s="174">
        <f ca="1">IF(AND(Limits!$Q$22=TRUE,Daten!K514=1)=TRUE,1,0)</f>
        <v>0</v>
      </c>
      <c r="K514" s="188">
        <f ca="1">IF(Daten!$V514=13,1,0)</f>
        <v>0</v>
      </c>
      <c r="L514" s="189">
        <f ca="1">IF(Daten!$V514&lt;&gt;Daten!$W514,1,IF(Daten!$V514=14,1,0))</f>
        <v>0</v>
      </c>
      <c r="M514" s="189">
        <f ca="1">IF(Daten!$V514&lt;&gt;Daten!$W514,1,IF(Daten!$V514=16,1,0))</f>
        <v>0</v>
      </c>
      <c r="N514" s="189">
        <f ca="1">IF(Daten!$W514=17,1,0)</f>
        <v>0</v>
      </c>
      <c r="O514" s="190">
        <f ca="1">IF(Daten!$X514=Sprache!$A$70,1,0)</f>
        <v>1</v>
      </c>
      <c r="P514" s="208">
        <f>IF(AND(Daten!$AQ514&lt;=KINVARO!$AW$3,Daten!$AR514&gt;=KINVARO!$AW$3)=TRUE,1,0)</f>
        <v>1</v>
      </c>
      <c r="Q514" s="209">
        <f>IF(AND(Daten!$AA514&lt;=KINVARO!$AW$4,Daten!$AB514&gt;=KINVARO!$AW$4)=TRUE,1,0)</f>
        <v>0</v>
      </c>
      <c r="R514" s="209"/>
      <c r="S514" s="209">
        <f>IF(AND(Daten!$AD514&lt;=Limits!$I$70,Daten!$AE514&gt;=Limits!$I$70)=TRUE,1,0)</f>
        <v>0</v>
      </c>
      <c r="T514" s="210">
        <f ca="1">IF(Daten!$Y514=Sprache!$A$135,1,0)</f>
        <v>0</v>
      </c>
      <c r="U514" s="211" t="str">
        <f ca="1">Sprache!$A$68</f>
        <v>T-65 Поворотный подъемник</v>
      </c>
      <c r="V514" s="212" t="str">
        <f ca="1">Sprache!$A$74</f>
        <v>var</v>
      </c>
      <c r="W514" s="210" t="str">
        <f ca="1">Sprache!$A$74</f>
        <v>var</v>
      </c>
      <c r="X514" s="213" t="str">
        <f ca="1">Sprache!$A$70</f>
        <v>соединение с древесиной</v>
      </c>
      <c r="Y514" s="187" t="str">
        <f ca="1">Sprache!$A$136</f>
        <v>nein</v>
      </c>
      <c r="Z514" s="213" t="str">
        <f ca="1">Sprache!$A$79</f>
        <v>Створка</v>
      </c>
      <c r="AA514" s="213">
        <v>250</v>
      </c>
      <c r="AB514" s="211">
        <v>299</v>
      </c>
      <c r="AC514" s="213"/>
      <c r="AD514" s="214">
        <v>0.9</v>
      </c>
      <c r="AE514" s="215">
        <v>2.1</v>
      </c>
      <c r="AF514" s="269" t="str">
        <f>MID(Tabelle2[[#This Row],[bnr full]],1,4)</f>
        <v>F151</v>
      </c>
      <c r="AG514" s="270" t="str">
        <f>MID(Tabelle2[[#This Row],[bnr full]],5,3)</f>
        <v>147</v>
      </c>
      <c r="AH514" s="271" t="str">
        <f>MID(Tabelle2[[#This Row],[bnr full]],8,3)</f>
        <v>682</v>
      </c>
      <c r="AI514" s="270" t="str">
        <f>MID(Tabelle2[[#This Row],[bnr full]],11,3)</f>
        <v>201</v>
      </c>
      <c r="AJ514" s="254" t="str">
        <f>MID(Tabelle2[[#This Row],[bnr full]],11,3)</f>
        <v>201</v>
      </c>
      <c r="AK514" s="216" t="s">
        <v>804</v>
      </c>
      <c r="AL514" s="211" t="str">
        <f ca="1">Sprache!$A$111</f>
        <v>Комплект (Л + П)</v>
      </c>
      <c r="AM514" s="213" t="s">
        <v>25</v>
      </c>
      <c r="AN514" s="213" t="str">
        <f ca="1">Sprache!$A$129</f>
        <v>Пружина, желтая, односторонняя</v>
      </c>
      <c r="AO514" s="187" t="s">
        <v>25</v>
      </c>
      <c r="AP514" s="187" t="s">
        <v>25</v>
      </c>
      <c r="AQ514" s="213">
        <f>Limits!$K$9</f>
        <v>200</v>
      </c>
      <c r="AR514" s="124">
        <v>1200</v>
      </c>
      <c r="AS514" s="187"/>
      <c r="AT514" s="124"/>
      <c r="AV514"/>
      <c r="AX514" s="10"/>
      <c r="AY514" s="11"/>
      <c r="AZ514" s="2"/>
      <c r="BC514"/>
    </row>
    <row r="515" spans="1:55" hidden="1" x14ac:dyDescent="0.25">
      <c r="A515" s="12" t="str">
        <f ca="1">IF(F515+G515+H515+I515+J515+D515+E515=3,IF(Tabelle2[[#This Row],[Kappe Weiß]]=Limits!$R$29,1,""),"")</f>
        <v/>
      </c>
      <c r="B515" s="12" t="str">
        <f ca="1">IF(G515+H515+I515+J515+E515+F515=2,IF(Tabelle2[[#This Row],[Kappe Weiß]]=Limits!$R$29,1,""),"")</f>
        <v/>
      </c>
      <c r="C515" s="291">
        <v>0</v>
      </c>
      <c r="D515" s="171">
        <f>IF(Limits!$P$6=TRUE,1,0)</f>
        <v>0</v>
      </c>
      <c r="E515" s="172">
        <f>IF(Daten!$P515+Daten!$Q515+Daten!$S515=3,1,0)</f>
        <v>0</v>
      </c>
      <c r="F515" s="173">
        <f ca="1">IF(AND(Limits!$Q$21=TRUE,Daten!O515=1)=TRUE,1,0)</f>
        <v>1</v>
      </c>
      <c r="G515" s="174">
        <f ca="1">IF(AND(Limits!$Q$25=TRUE,Daten!N515=1)=TRUE,1,0)</f>
        <v>0</v>
      </c>
      <c r="H515" s="174">
        <f ca="1">IF(AND(Limits!$Q$24=TRUE,Daten!M515=1)=TRUE,1,0)</f>
        <v>0</v>
      </c>
      <c r="I515" s="174">
        <f ca="1">IF(AND(Limits!$Q$23=TRUE,Daten!L515=1)=TRUE,1,0)</f>
        <v>0</v>
      </c>
      <c r="J515" s="174">
        <f ca="1">IF(AND(Limits!$Q$22=TRUE,Daten!K515=1)=TRUE,1,0)</f>
        <v>0</v>
      </c>
      <c r="K515" s="188">
        <f ca="1">IF(Daten!$V515=13,1,0)</f>
        <v>0</v>
      </c>
      <c r="L515" s="189">
        <f ca="1">IF(Daten!$V515&lt;&gt;Daten!$W515,1,IF(Daten!$V515=14,1,0))</f>
        <v>0</v>
      </c>
      <c r="M515" s="189">
        <f ca="1">IF(Daten!$V515&lt;&gt;Daten!$W515,1,IF(Daten!$V515=16,1,0))</f>
        <v>0</v>
      </c>
      <c r="N515" s="189">
        <f ca="1">IF(Daten!$W515=17,1,0)</f>
        <v>0</v>
      </c>
      <c r="O515" s="190">
        <f ca="1">IF(Daten!$X515=Sprache!$A$70,1,0)</f>
        <v>1</v>
      </c>
      <c r="P515" s="191">
        <f>IF(AND(Daten!$AQ515&lt;=KINVARO!$AW$3,Daten!$AR515&gt;=KINVARO!$AW$3)=TRUE,1,0)</f>
        <v>1</v>
      </c>
      <c r="Q515" s="192">
        <f>IF(AND(Daten!$AA515&lt;=KINVARO!$AW$4,Daten!$AB515&gt;=KINVARO!$AW$4)=TRUE,1,0)</f>
        <v>0</v>
      </c>
      <c r="R515" s="192"/>
      <c r="S515" s="192">
        <f>IF(AND(Daten!$AD515&lt;=Limits!$I$70,Daten!$AE515&gt;=Limits!$I$70)=TRUE,1,0)</f>
        <v>0</v>
      </c>
      <c r="T515" s="193">
        <f ca="1">IF(Daten!$Y515=Sprache!$A$135,1,0)</f>
        <v>0</v>
      </c>
      <c r="U515" s="124" t="str">
        <f ca="1">Sprache!$A$68</f>
        <v>T-65 Поворотный подъемник</v>
      </c>
      <c r="V515" s="194" t="str">
        <f ca="1">Sprache!$A$74</f>
        <v>var</v>
      </c>
      <c r="W515" s="193" t="str">
        <f ca="1">Sprache!$A$74</f>
        <v>var</v>
      </c>
      <c r="X515" s="187" t="str">
        <f ca="1">Sprache!$A$70</f>
        <v>соединение с древесиной</v>
      </c>
      <c r="Y515" s="187" t="str">
        <f ca="1">Sprache!$A$136</f>
        <v>nein</v>
      </c>
      <c r="Z515" s="187" t="str">
        <f ca="1">Sprache!$A$79</f>
        <v>Створка</v>
      </c>
      <c r="AA515" s="187">
        <v>250</v>
      </c>
      <c r="AB515" s="124">
        <v>299</v>
      </c>
      <c r="AC515" s="187"/>
      <c r="AD515" s="195">
        <v>1.8</v>
      </c>
      <c r="AE515" s="196">
        <v>4.2</v>
      </c>
      <c r="AF515" s="263" t="str">
        <f>MID(Tabelle2[[#This Row],[bnr full]],1,4)</f>
        <v>F151</v>
      </c>
      <c r="AG515" s="264" t="str">
        <f>MID(Tabelle2[[#This Row],[bnr full]],5,3)</f>
        <v>147</v>
      </c>
      <c r="AH515" s="265" t="str">
        <f>MID(Tabelle2[[#This Row],[bnr full]],8,3)</f>
        <v>682</v>
      </c>
      <c r="AI515" s="264" t="str">
        <f>MID(Tabelle2[[#This Row],[bnr full]],11,3)</f>
        <v>201</v>
      </c>
      <c r="AJ515" s="252" t="str">
        <f>MID(Tabelle2[[#This Row],[bnr full]],11,3)</f>
        <v>201</v>
      </c>
      <c r="AK515" s="197" t="s">
        <v>804</v>
      </c>
      <c r="AL515" s="124" t="str">
        <f ca="1">Sprache!$A$111</f>
        <v>Комплект (Л + П)</v>
      </c>
      <c r="AM515" s="187" t="s">
        <v>25</v>
      </c>
      <c r="AN515" s="187" t="str">
        <f ca="1">Sprache!$A$130</f>
        <v>Пружина, желтая, двусторонняя</v>
      </c>
      <c r="AO515" s="187" t="s">
        <v>25</v>
      </c>
      <c r="AP515" s="187" t="s">
        <v>25</v>
      </c>
      <c r="AQ515" s="187">
        <f>Limits!$K$9</f>
        <v>200</v>
      </c>
      <c r="AR515" s="124">
        <v>1200</v>
      </c>
      <c r="AS515" s="187"/>
      <c r="AT515" s="124"/>
      <c r="AV515"/>
      <c r="AX515" s="10"/>
      <c r="AY515" s="11"/>
      <c r="AZ515" s="2"/>
      <c r="BC515"/>
    </row>
    <row r="516" spans="1:55" hidden="1" x14ac:dyDescent="0.25">
      <c r="A516" s="12" t="str">
        <f ca="1">IF(F516+G516+H516+I516+J516+D516+E516=3,IF(Tabelle2[[#This Row],[Kappe Weiß]]=Limits!$R$29,1,""),"")</f>
        <v/>
      </c>
      <c r="B516" s="12" t="str">
        <f ca="1">IF(G516+H516+I516+J516+E516+F516=2,IF(Tabelle2[[#This Row],[Kappe Weiß]]=Limits!$R$29,1,""),"")</f>
        <v/>
      </c>
      <c r="C516" s="291">
        <v>0</v>
      </c>
      <c r="D516" s="171">
        <f>IF(Limits!$P$6=TRUE,1,0)</f>
        <v>0</v>
      </c>
      <c r="E516" s="172">
        <f>IF(Daten!$P516+Daten!$Q516+Daten!$S516=3,1,0)</f>
        <v>0</v>
      </c>
      <c r="F516" s="173">
        <f ca="1">IF(AND(Limits!$Q$21=TRUE,Daten!O516=1)=TRUE,1,0)</f>
        <v>1</v>
      </c>
      <c r="G516" s="174">
        <f ca="1">IF(AND(Limits!$Q$25=TRUE,Daten!N516=1)=TRUE,1,0)</f>
        <v>0</v>
      </c>
      <c r="H516" s="174">
        <f ca="1">IF(AND(Limits!$Q$24=TRUE,Daten!M516=1)=TRUE,1,0)</f>
        <v>0</v>
      </c>
      <c r="I516" s="174">
        <f ca="1">IF(AND(Limits!$Q$23=TRUE,Daten!L516=1)=TRUE,1,0)</f>
        <v>0</v>
      </c>
      <c r="J516" s="174">
        <f ca="1">IF(AND(Limits!$Q$22=TRUE,Daten!K516=1)=TRUE,1,0)</f>
        <v>0</v>
      </c>
      <c r="K516" s="188">
        <f ca="1">IF(Daten!$V516=13,1,0)</f>
        <v>0</v>
      </c>
      <c r="L516" s="189">
        <f ca="1">IF(Daten!$V516&lt;&gt;Daten!$W516,1,IF(Daten!$V516=14,1,0))</f>
        <v>0</v>
      </c>
      <c r="M516" s="189">
        <f ca="1">IF(Daten!$V516&lt;&gt;Daten!$W516,1,IF(Daten!$V516=16,1,0))</f>
        <v>0</v>
      </c>
      <c r="N516" s="189">
        <f ca="1">IF(Daten!$W516=17,1,0)</f>
        <v>0</v>
      </c>
      <c r="O516" s="190">
        <f ca="1">IF(Daten!$X516=Sprache!$A$70,1,0)</f>
        <v>1</v>
      </c>
      <c r="P516" s="191">
        <f>IF(AND(Daten!$AQ516&lt;=KINVARO!$AW$3,Daten!$AR516&gt;=KINVARO!$AW$3)=TRUE,1,0)</f>
        <v>1</v>
      </c>
      <c r="Q516" s="192">
        <f>IF(AND(Daten!$AA516&lt;=KINVARO!$AW$4,Daten!$AB516&gt;=KINVARO!$AW$4)=TRUE,1,0)</f>
        <v>0</v>
      </c>
      <c r="R516" s="192"/>
      <c r="S516" s="192">
        <f>IF(AND(Daten!$AD516&lt;=Limits!$I$70,Daten!$AE516&gt;=Limits!$I$70)=TRUE,1,0)</f>
        <v>0</v>
      </c>
      <c r="T516" s="193">
        <f ca="1">IF(Daten!$Y516=Sprache!$A$135,1,0)</f>
        <v>0</v>
      </c>
      <c r="U516" s="124" t="str">
        <f ca="1">Sprache!$A$68</f>
        <v>T-65 Поворотный подъемник</v>
      </c>
      <c r="V516" s="194" t="str">
        <f ca="1">Sprache!$A$74</f>
        <v>var</v>
      </c>
      <c r="W516" s="193" t="str">
        <f ca="1">Sprache!$A$74</f>
        <v>var</v>
      </c>
      <c r="X516" s="187" t="str">
        <f ca="1">Sprache!$A$70</f>
        <v>соединение с древесиной</v>
      </c>
      <c r="Y516" s="187" t="str">
        <f ca="1">Sprache!$A$136</f>
        <v>nein</v>
      </c>
      <c r="Z516" s="187" t="str">
        <f ca="1">Sprache!$A$79</f>
        <v>Створка</v>
      </c>
      <c r="AA516" s="187">
        <v>250</v>
      </c>
      <c r="AB516" s="124">
        <v>299</v>
      </c>
      <c r="AC516" s="187"/>
      <c r="AD516" s="195">
        <v>2.4</v>
      </c>
      <c r="AE516" s="196">
        <v>7.4</v>
      </c>
      <c r="AF516" s="263" t="str">
        <f>MID(Tabelle2[[#This Row],[bnr full]],1,4)</f>
        <v>F151</v>
      </c>
      <c r="AG516" s="264" t="str">
        <f>MID(Tabelle2[[#This Row],[bnr full]],5,3)</f>
        <v>147</v>
      </c>
      <c r="AH516" s="265" t="str">
        <f>MID(Tabelle2[[#This Row],[bnr full]],8,3)</f>
        <v>682</v>
      </c>
      <c r="AI516" s="264" t="str">
        <f>MID(Tabelle2[[#This Row],[bnr full]],11,3)</f>
        <v>201</v>
      </c>
      <c r="AJ516" s="252" t="str">
        <f>MID(Tabelle2[[#This Row],[bnr full]],11,3)</f>
        <v>201</v>
      </c>
      <c r="AK516" s="197" t="s">
        <v>804</v>
      </c>
      <c r="AL516" s="124" t="str">
        <f ca="1">Sprache!$A$111</f>
        <v>Комплект (Л + П)</v>
      </c>
      <c r="AM516" s="187" t="s">
        <v>25</v>
      </c>
      <c r="AN516" s="187" t="str">
        <f ca="1">Sprache!$A$131</f>
        <v>Пружина, черная, двусторонняя</v>
      </c>
      <c r="AO516" s="187" t="s">
        <v>25</v>
      </c>
      <c r="AP516" s="187" t="s">
        <v>25</v>
      </c>
      <c r="AQ516" s="187">
        <f>Limits!$K$9</f>
        <v>200</v>
      </c>
      <c r="AR516" s="124">
        <v>1200</v>
      </c>
      <c r="AS516" s="187"/>
      <c r="AT516" s="124"/>
      <c r="AV516"/>
      <c r="AX516" s="10"/>
      <c r="AY516" s="11"/>
      <c r="AZ516" s="2"/>
      <c r="BC516"/>
    </row>
    <row r="517" spans="1:55" hidden="1" x14ac:dyDescent="0.25">
      <c r="A517" s="12" t="str">
        <f ca="1">IF(F517+G517+H517+I517+J517+D517+E517=3,IF(Tabelle2[[#This Row],[Kappe Weiß]]=Limits!$R$29,1,""),"")</f>
        <v/>
      </c>
      <c r="B517" s="12" t="str">
        <f ca="1">IF(G517+H517+I517+J517+E517+F517=2,IF(Tabelle2[[#This Row],[Kappe Weiß]]=Limits!$R$29,1,""),"")</f>
        <v/>
      </c>
      <c r="C517" s="291">
        <v>0</v>
      </c>
      <c r="D517" s="171">
        <f>IF(Limits!$P$6=TRUE,1,0)</f>
        <v>0</v>
      </c>
      <c r="E517" s="172">
        <f>IF(Daten!$P517+Daten!$Q517+Daten!$S517=3,1,0)</f>
        <v>0</v>
      </c>
      <c r="F517" s="173">
        <f ca="1">IF(AND(Limits!$Q$21=TRUE,Daten!O517=1)=TRUE,1,0)</f>
        <v>0</v>
      </c>
      <c r="G517" s="174">
        <f>IF(AND(Limits!$Q$25=TRUE,Daten!N517=1)=TRUE,1,0)</f>
        <v>0</v>
      </c>
      <c r="H517" s="174">
        <f>IF(AND(Limits!$Q$24=TRUE,Daten!M517=1)=TRUE,1,0)</f>
        <v>0</v>
      </c>
      <c r="I517" s="174">
        <f>IF(AND(Limits!$Q$23=TRUE,Daten!L517=1)=TRUE,1,0)</f>
        <v>0</v>
      </c>
      <c r="J517" s="174">
        <f>IF(AND(Limits!$Q$22=TRUE,Daten!K517=1)=TRUE,1,0)</f>
        <v>0</v>
      </c>
      <c r="K517" s="188">
        <f>IF(Daten!$V517=13,1,0)</f>
        <v>1</v>
      </c>
      <c r="L517" s="189">
        <f>IF(Daten!$V517&lt;&gt;Daten!$W517,1,IF(Daten!$V517=14,1,0))</f>
        <v>0</v>
      </c>
      <c r="M517" s="189">
        <f>IF(Daten!$V517&lt;&gt;Daten!$W517,1,IF(Daten!$V517=16,1,0))</f>
        <v>0</v>
      </c>
      <c r="N517" s="189">
        <f>IF(Daten!$W517=17,1,0)</f>
        <v>0</v>
      </c>
      <c r="O517" s="190">
        <f ca="1">IF(Daten!$X517=Sprache!$A$70,1,0)</f>
        <v>0</v>
      </c>
      <c r="P517" s="191">
        <f>IF(AND(Daten!$AQ517&lt;=KINVARO!$AW$3,Daten!$AR517&gt;=KINVARO!$AW$3)=TRUE,1,0)</f>
        <v>1</v>
      </c>
      <c r="Q517" s="192">
        <f>IF(AND(Daten!$AA517&lt;=KINVARO!$AW$4,Daten!$AB517&gt;=KINVARO!$AW$4)=TRUE,1,0)</f>
        <v>0</v>
      </c>
      <c r="R517" s="192"/>
      <c r="S517" s="192">
        <f>IF(AND(Daten!$AD517&lt;=Limits!$I$70,Daten!$AE517&gt;=Limits!$I$70)=TRUE,1,0)</f>
        <v>0</v>
      </c>
      <c r="T517" s="193">
        <f ca="1">IF(Daten!$Y517=Sprache!$A$135,1,0)</f>
        <v>0</v>
      </c>
      <c r="U517" s="124" t="str">
        <f ca="1">Sprache!$A$68</f>
        <v>T-65 Поворотный подъемник</v>
      </c>
      <c r="V517" s="194">
        <v>13</v>
      </c>
      <c r="W517" s="193">
        <v>13</v>
      </c>
      <c r="X517" s="187" t="str">
        <f ca="1">Sprache!$A$141</f>
        <v>Alu</v>
      </c>
      <c r="Y517" s="187" t="str">
        <f ca="1">Sprache!$A$136</f>
        <v>nein</v>
      </c>
      <c r="Z517" s="187" t="str">
        <f ca="1">Sprache!$A$79</f>
        <v>Створка</v>
      </c>
      <c r="AA517" s="187">
        <v>250</v>
      </c>
      <c r="AB517" s="124">
        <v>299</v>
      </c>
      <c r="AC517" s="187"/>
      <c r="AD517" s="195">
        <v>0.9</v>
      </c>
      <c r="AE517" s="196">
        <v>2.1</v>
      </c>
      <c r="AF517" s="263" t="str">
        <f>MID(Tabelle2[[#This Row],[bnr full]],1,4)</f>
        <v>F151</v>
      </c>
      <c r="AG517" s="264" t="str">
        <f>MID(Tabelle2[[#This Row],[bnr full]],5,3)</f>
        <v>147</v>
      </c>
      <c r="AH517" s="265" t="str">
        <f>MID(Tabelle2[[#This Row],[bnr full]],8,3)</f>
        <v>678</v>
      </c>
      <c r="AI517" s="264" t="str">
        <f>MID(Tabelle2[[#This Row],[bnr full]],11,3)</f>
        <v>201</v>
      </c>
      <c r="AJ517" s="252" t="str">
        <f>MID(Tabelle2[[#This Row],[bnr full]],11,3)</f>
        <v>201</v>
      </c>
      <c r="AK517" s="197" t="s">
        <v>805</v>
      </c>
      <c r="AL517" s="124" t="str">
        <f ca="1">Sprache!$A$111</f>
        <v>Комплект (Л + П)</v>
      </c>
      <c r="AM517" s="187" t="s">
        <v>25</v>
      </c>
      <c r="AN517" s="187" t="str">
        <f ca="1">Sprache!$A$129</f>
        <v>Пружина, желтая, односторонняя</v>
      </c>
      <c r="AO517" s="187" t="s">
        <v>25</v>
      </c>
      <c r="AP517" s="187" t="s">
        <v>25</v>
      </c>
      <c r="AQ517" s="187">
        <f>Limits!$K$9</f>
        <v>200</v>
      </c>
      <c r="AR517" s="124">
        <v>1200</v>
      </c>
      <c r="AS517" s="187"/>
      <c r="AT517" s="124"/>
      <c r="AV517"/>
      <c r="AX517" s="10"/>
      <c r="AY517" s="11"/>
      <c r="AZ517" s="2"/>
      <c r="BC517"/>
    </row>
    <row r="518" spans="1:55" hidden="1" x14ac:dyDescent="0.25">
      <c r="A518" s="12" t="str">
        <f ca="1">IF(F518+G518+H518+I518+J518+D518+E518=3,IF(Tabelle2[[#This Row],[Kappe Weiß]]=Limits!$R$29,1,""),"")</f>
        <v/>
      </c>
      <c r="B518" s="12" t="str">
        <f ca="1">IF(G518+H518+I518+J518+E518+F518=2,IF(Tabelle2[[#This Row],[Kappe Weiß]]=Limits!$R$29,1,""),"")</f>
        <v/>
      </c>
      <c r="C518" s="291">
        <v>0</v>
      </c>
      <c r="D518" s="171">
        <f>IF(Limits!$P$6=TRUE,1,0)</f>
        <v>0</v>
      </c>
      <c r="E518" s="172">
        <f>IF(Daten!$P518+Daten!$Q518+Daten!$S518=3,1,0)</f>
        <v>0</v>
      </c>
      <c r="F518" s="173">
        <f ca="1">IF(AND(Limits!$Q$21=TRUE,Daten!O518=1)=TRUE,1,0)</f>
        <v>0</v>
      </c>
      <c r="G518" s="174">
        <f>IF(AND(Limits!$Q$25=TRUE,Daten!N518=1)=TRUE,1,0)</f>
        <v>0</v>
      </c>
      <c r="H518" s="174">
        <f>IF(AND(Limits!$Q$24=TRUE,Daten!M518=1)=TRUE,1,0)</f>
        <v>0</v>
      </c>
      <c r="I518" s="174">
        <f>IF(AND(Limits!$Q$23=TRUE,Daten!L518=1)=TRUE,1,0)</f>
        <v>0</v>
      </c>
      <c r="J518" s="174">
        <f>IF(AND(Limits!$Q$22=TRUE,Daten!K518=1)=TRUE,1,0)</f>
        <v>0</v>
      </c>
      <c r="K518" s="188">
        <f>IF(Daten!$V518=13,1,0)</f>
        <v>1</v>
      </c>
      <c r="L518" s="189">
        <f>IF(Daten!$V518&lt;&gt;Daten!$W518,1,IF(Daten!$V518=14,1,0))</f>
        <v>0</v>
      </c>
      <c r="M518" s="189">
        <f>IF(Daten!$V518&lt;&gt;Daten!$W518,1,IF(Daten!$V518=16,1,0))</f>
        <v>0</v>
      </c>
      <c r="N518" s="189">
        <f>IF(Daten!$W518=17,1,0)</f>
        <v>0</v>
      </c>
      <c r="O518" s="190">
        <f ca="1">IF(Daten!$X518=Sprache!$A$70,1,0)</f>
        <v>0</v>
      </c>
      <c r="P518" s="191">
        <f>IF(AND(Daten!$AQ518&lt;=KINVARO!$AW$3,Daten!$AR518&gt;=KINVARO!$AW$3)=TRUE,1,0)</f>
        <v>1</v>
      </c>
      <c r="Q518" s="192">
        <f>IF(AND(Daten!$AA518&lt;=KINVARO!$AW$4,Daten!$AB518&gt;=KINVARO!$AW$4)=TRUE,1,0)</f>
        <v>0</v>
      </c>
      <c r="R518" s="192"/>
      <c r="S518" s="192">
        <f>IF(AND(Daten!$AD518&lt;=Limits!$I$70,Daten!$AE518&gt;=Limits!$I$70)=TRUE,1,0)</f>
        <v>0</v>
      </c>
      <c r="T518" s="193">
        <f ca="1">IF(Daten!$Y518=Sprache!$A$135,1,0)</f>
        <v>0</v>
      </c>
      <c r="U518" s="124" t="str">
        <f ca="1">Sprache!$A$68</f>
        <v>T-65 Поворотный подъемник</v>
      </c>
      <c r="V518" s="194">
        <v>13</v>
      </c>
      <c r="W518" s="193">
        <v>13</v>
      </c>
      <c r="X518" s="187" t="str">
        <f ca="1">Sprache!$A$141</f>
        <v>Alu</v>
      </c>
      <c r="Y518" s="187" t="str">
        <f ca="1">Sprache!$A$136</f>
        <v>nein</v>
      </c>
      <c r="Z518" s="187" t="str">
        <f ca="1">Sprache!$A$79</f>
        <v>Створка</v>
      </c>
      <c r="AA518" s="187">
        <v>250</v>
      </c>
      <c r="AB518" s="124">
        <v>299</v>
      </c>
      <c r="AC518" s="187"/>
      <c r="AD518" s="195">
        <v>1.8</v>
      </c>
      <c r="AE518" s="196">
        <v>4.2</v>
      </c>
      <c r="AF518" s="263" t="str">
        <f>MID(Tabelle2[[#This Row],[bnr full]],1,4)</f>
        <v>F151</v>
      </c>
      <c r="AG518" s="264" t="str">
        <f>MID(Tabelle2[[#This Row],[bnr full]],5,3)</f>
        <v>147</v>
      </c>
      <c r="AH518" s="265" t="str">
        <f>MID(Tabelle2[[#This Row],[bnr full]],8,3)</f>
        <v>678</v>
      </c>
      <c r="AI518" s="264" t="str">
        <f>MID(Tabelle2[[#This Row],[bnr full]],11,3)</f>
        <v>201</v>
      </c>
      <c r="AJ518" s="252" t="str">
        <f>MID(Tabelle2[[#This Row],[bnr full]],11,3)</f>
        <v>201</v>
      </c>
      <c r="AK518" s="197" t="s">
        <v>805</v>
      </c>
      <c r="AL518" s="124" t="str">
        <f ca="1">Sprache!$A$111</f>
        <v>Комплект (Л + П)</v>
      </c>
      <c r="AM518" s="187" t="s">
        <v>25</v>
      </c>
      <c r="AN518" s="187" t="str">
        <f ca="1">Sprache!$A$130</f>
        <v>Пружина, желтая, двусторонняя</v>
      </c>
      <c r="AO518" s="187" t="s">
        <v>25</v>
      </c>
      <c r="AP518" s="187" t="s">
        <v>25</v>
      </c>
      <c r="AQ518" s="187">
        <f>Limits!$K$9</f>
        <v>200</v>
      </c>
      <c r="AR518" s="124">
        <v>1200</v>
      </c>
      <c r="AS518" s="187"/>
      <c r="AT518" s="124"/>
      <c r="AV518"/>
      <c r="AX518" s="10"/>
      <c r="AY518" s="11"/>
      <c r="AZ518" s="2"/>
      <c r="BC518"/>
    </row>
    <row r="519" spans="1:55" hidden="1" x14ac:dyDescent="0.25">
      <c r="A519" s="12" t="str">
        <f ca="1">IF(F519+G519+H519+I519+J519+D519+E519=3,IF(Tabelle2[[#This Row],[Kappe Weiß]]=Limits!$R$29,1,""),"")</f>
        <v/>
      </c>
      <c r="B519" s="12" t="str">
        <f ca="1">IF(G519+H519+I519+J519+E519+F519=2,IF(Tabelle2[[#This Row],[Kappe Weiß]]=Limits!$R$29,1,""),"")</f>
        <v/>
      </c>
      <c r="C519" s="291">
        <v>0</v>
      </c>
      <c r="D519" s="171">
        <f>IF(Limits!$P$6=TRUE,1,0)</f>
        <v>0</v>
      </c>
      <c r="E519" s="172">
        <f>IF(Daten!$P519+Daten!$Q519+Daten!$S519=3,1,0)</f>
        <v>0</v>
      </c>
      <c r="F519" s="173">
        <f ca="1">IF(AND(Limits!$Q$21=TRUE,Daten!O519=1)=TRUE,1,0)</f>
        <v>0</v>
      </c>
      <c r="G519" s="174">
        <f>IF(AND(Limits!$Q$25=TRUE,Daten!N519=1)=TRUE,1,0)</f>
        <v>0</v>
      </c>
      <c r="H519" s="174">
        <f>IF(AND(Limits!$Q$24=TRUE,Daten!M519=1)=TRUE,1,0)</f>
        <v>0</v>
      </c>
      <c r="I519" s="174">
        <f>IF(AND(Limits!$Q$23=TRUE,Daten!L519=1)=TRUE,1,0)</f>
        <v>0</v>
      </c>
      <c r="J519" s="174">
        <f>IF(AND(Limits!$Q$22=TRUE,Daten!K519=1)=TRUE,1,0)</f>
        <v>0</v>
      </c>
      <c r="K519" s="188">
        <f>IF(Daten!$V519=13,1,0)</f>
        <v>1</v>
      </c>
      <c r="L519" s="189">
        <f>IF(Daten!$V519&lt;&gt;Daten!$W519,1,IF(Daten!$V519=14,1,0))</f>
        <v>0</v>
      </c>
      <c r="M519" s="189">
        <f>IF(Daten!$V519&lt;&gt;Daten!$W519,1,IF(Daten!$V519=16,1,0))</f>
        <v>0</v>
      </c>
      <c r="N519" s="189">
        <f>IF(Daten!$W519=17,1,0)</f>
        <v>0</v>
      </c>
      <c r="O519" s="190">
        <f ca="1">IF(Daten!$X519=Sprache!$A$70,1,0)</f>
        <v>0</v>
      </c>
      <c r="P519" s="191">
        <f>IF(AND(Daten!$AQ519&lt;=KINVARO!$AW$3,Daten!$AR519&gt;=KINVARO!$AW$3)=TRUE,1,0)</f>
        <v>1</v>
      </c>
      <c r="Q519" s="192">
        <f>IF(AND(Daten!$AA519&lt;=KINVARO!$AW$4,Daten!$AB519&gt;=KINVARO!$AW$4)=TRUE,1,0)</f>
        <v>0</v>
      </c>
      <c r="R519" s="192"/>
      <c r="S519" s="192">
        <f>IF(AND(Daten!$AD519&lt;=Limits!$I$70,Daten!$AE519&gt;=Limits!$I$70)=TRUE,1,0)</f>
        <v>0</v>
      </c>
      <c r="T519" s="193">
        <f ca="1">IF(Daten!$Y519=Sprache!$A$135,1,0)</f>
        <v>0</v>
      </c>
      <c r="U519" s="124" t="str">
        <f ca="1">Sprache!$A$68</f>
        <v>T-65 Поворотный подъемник</v>
      </c>
      <c r="V519" s="194">
        <v>13</v>
      </c>
      <c r="W519" s="193">
        <v>13</v>
      </c>
      <c r="X519" s="187" t="str">
        <f ca="1">Sprache!$A$141</f>
        <v>Alu</v>
      </c>
      <c r="Y519" s="187" t="str">
        <f ca="1">Sprache!$A$136</f>
        <v>nein</v>
      </c>
      <c r="Z519" s="187" t="str">
        <f ca="1">Sprache!$A$79</f>
        <v>Створка</v>
      </c>
      <c r="AA519" s="187">
        <v>250</v>
      </c>
      <c r="AB519" s="124">
        <v>299</v>
      </c>
      <c r="AC519" s="187"/>
      <c r="AD519" s="195">
        <v>2.4</v>
      </c>
      <c r="AE519" s="196">
        <v>7.4</v>
      </c>
      <c r="AF519" s="263" t="str">
        <f>MID(Tabelle2[[#This Row],[bnr full]],1,4)</f>
        <v>F151</v>
      </c>
      <c r="AG519" s="264" t="str">
        <f>MID(Tabelle2[[#This Row],[bnr full]],5,3)</f>
        <v>147</v>
      </c>
      <c r="AH519" s="265" t="str">
        <f>MID(Tabelle2[[#This Row],[bnr full]],8,3)</f>
        <v>678</v>
      </c>
      <c r="AI519" s="264" t="str">
        <f>MID(Tabelle2[[#This Row],[bnr full]],11,3)</f>
        <v>201</v>
      </c>
      <c r="AJ519" s="252" t="str">
        <f>MID(Tabelle2[[#This Row],[bnr full]],11,3)</f>
        <v>201</v>
      </c>
      <c r="AK519" s="197" t="s">
        <v>805</v>
      </c>
      <c r="AL519" s="124" t="str">
        <f ca="1">Sprache!$A$111</f>
        <v>Комплект (Л + П)</v>
      </c>
      <c r="AM519" s="187" t="s">
        <v>25</v>
      </c>
      <c r="AN519" s="187" t="str">
        <f ca="1">Sprache!$A$131</f>
        <v>Пружина, черная, двусторонняя</v>
      </c>
      <c r="AO519" s="187" t="s">
        <v>25</v>
      </c>
      <c r="AP519" s="187" t="s">
        <v>25</v>
      </c>
      <c r="AQ519" s="187">
        <f>Limits!$K$9</f>
        <v>200</v>
      </c>
      <c r="AR519" s="124">
        <v>1200</v>
      </c>
      <c r="AS519" s="187"/>
      <c r="AT519" s="124"/>
      <c r="AV519"/>
      <c r="AX519" s="10"/>
      <c r="AY519" s="11"/>
      <c r="AZ519" s="2"/>
      <c r="BC519"/>
    </row>
    <row r="520" spans="1:55" hidden="1" x14ac:dyDescent="0.25">
      <c r="A520" s="12" t="str">
        <f ca="1">IF(F520+G520+H520+I520+J520+D520+E520=3,IF(Tabelle2[[#This Row],[Kappe Weiß]]=Limits!$R$29,1,""),"")</f>
        <v/>
      </c>
      <c r="B520" s="12" t="str">
        <f ca="1">IF(G520+H520+I520+J520+E520+F520=2,IF(Tabelle2[[#This Row],[Kappe Weiß]]=Limits!$R$29,1,""),"")</f>
        <v/>
      </c>
      <c r="C520" s="291">
        <v>0</v>
      </c>
      <c r="D520" s="171">
        <f>IF(Limits!$P$6=TRUE,1,0)</f>
        <v>0</v>
      </c>
      <c r="E520" s="172">
        <f>IF(Daten!$P520+Daten!$Q520+Daten!$S520=3,1,0)</f>
        <v>0</v>
      </c>
      <c r="F520" s="173">
        <f ca="1">IF(AND(Limits!$Q$21=TRUE,Daten!O520=1)=TRUE,1,0)</f>
        <v>0</v>
      </c>
      <c r="G520" s="174">
        <f>IF(AND(Limits!$Q$25=TRUE,Daten!N520=1)=TRUE,1,0)</f>
        <v>0</v>
      </c>
      <c r="H520" s="174">
        <f>IF(AND(Limits!$Q$24=TRUE,Daten!M520=1)=TRUE,1,0)</f>
        <v>0</v>
      </c>
      <c r="I520" s="174">
        <f>IF(AND(Limits!$Q$23=TRUE,Daten!L520=1)=TRUE,1,0)</f>
        <v>0</v>
      </c>
      <c r="J520" s="174">
        <f>IF(AND(Limits!$Q$22=TRUE,Daten!K520=1)=TRUE,1,0)</f>
        <v>0</v>
      </c>
      <c r="K520" s="188">
        <f>IF(Daten!$V520=13,1,0)</f>
        <v>0</v>
      </c>
      <c r="L520" s="189">
        <f>IF(Daten!$V520&lt;&gt;Daten!$W520,1,IF(Daten!$V520=14,1,0))</f>
        <v>1</v>
      </c>
      <c r="M520" s="189">
        <f>IF(Daten!$V520&lt;&gt;Daten!$W520,1,IF(Daten!$V520=16,1,0))</f>
        <v>0</v>
      </c>
      <c r="N520" s="189">
        <f>IF(Daten!$W520=17,1,0)</f>
        <v>0</v>
      </c>
      <c r="O520" s="190">
        <f ca="1">IF(Daten!$X520=Sprache!$A$70,1,0)</f>
        <v>0</v>
      </c>
      <c r="P520" s="191">
        <f>IF(AND(Daten!$AQ520&lt;=KINVARO!$AW$3,Daten!$AR520&gt;=KINVARO!$AW$3)=TRUE,1,0)</f>
        <v>1</v>
      </c>
      <c r="Q520" s="192">
        <f>IF(AND(Daten!$AA520&lt;=KINVARO!$AW$4,Daten!$AB520&gt;=KINVARO!$AW$4)=TRUE,1,0)</f>
        <v>0</v>
      </c>
      <c r="R520" s="192"/>
      <c r="S520" s="192">
        <f>IF(AND(Daten!$AD520&lt;=Limits!$I$70,Daten!$AE520&gt;=Limits!$I$70)=TRUE,1,0)</f>
        <v>0</v>
      </c>
      <c r="T520" s="193">
        <f ca="1">IF(Daten!$Y520=Sprache!$A$135,1,0)</f>
        <v>0</v>
      </c>
      <c r="U520" s="124" t="str">
        <f ca="1">Sprache!$A$68</f>
        <v>T-65 Поворотный подъемник</v>
      </c>
      <c r="V520" s="194">
        <v>14</v>
      </c>
      <c r="W520" s="193">
        <v>14</v>
      </c>
      <c r="X520" s="187" t="str">
        <f ca="1">Sprache!$A$141</f>
        <v>Alu</v>
      </c>
      <c r="Y520" s="187" t="str">
        <f ca="1">Sprache!$A$136</f>
        <v>nein</v>
      </c>
      <c r="Z520" s="187" t="str">
        <f ca="1">Sprache!$A$79</f>
        <v>Створка</v>
      </c>
      <c r="AA520" s="187">
        <v>250</v>
      </c>
      <c r="AB520" s="124">
        <v>299</v>
      </c>
      <c r="AC520" s="187"/>
      <c r="AD520" s="195">
        <v>0.9</v>
      </c>
      <c r="AE520" s="196">
        <v>2.1</v>
      </c>
      <c r="AF520" s="263" t="str">
        <f>MID(Tabelle2[[#This Row],[bnr full]],1,4)</f>
        <v>F151</v>
      </c>
      <c r="AG520" s="264" t="str">
        <f>MID(Tabelle2[[#This Row],[bnr full]],5,3)</f>
        <v>147</v>
      </c>
      <c r="AH520" s="265" t="str">
        <f>MID(Tabelle2[[#This Row],[bnr full]],8,3)</f>
        <v>679</v>
      </c>
      <c r="AI520" s="264" t="str">
        <f>MID(Tabelle2[[#This Row],[bnr full]],11,3)</f>
        <v>201</v>
      </c>
      <c r="AJ520" s="252" t="str">
        <f>MID(Tabelle2[[#This Row],[bnr full]],11,3)</f>
        <v>201</v>
      </c>
      <c r="AK520" s="197" t="s">
        <v>806</v>
      </c>
      <c r="AL520" s="124" t="str">
        <f ca="1">Sprache!$A$111</f>
        <v>Комплект (Л + П)</v>
      </c>
      <c r="AM520" s="187" t="s">
        <v>25</v>
      </c>
      <c r="AN520" s="187" t="str">
        <f ca="1">Sprache!$A$129</f>
        <v>Пружина, желтая, односторонняя</v>
      </c>
      <c r="AO520" s="187" t="s">
        <v>25</v>
      </c>
      <c r="AP520" s="187" t="s">
        <v>25</v>
      </c>
      <c r="AQ520" s="187">
        <f>Limits!$K$9</f>
        <v>200</v>
      </c>
      <c r="AR520" s="124">
        <v>1200</v>
      </c>
      <c r="AS520" s="187"/>
      <c r="AT520" s="124"/>
      <c r="AV520"/>
      <c r="AX520" s="10"/>
      <c r="AY520" s="11"/>
      <c r="AZ520" s="2"/>
      <c r="BC520"/>
    </row>
    <row r="521" spans="1:55" hidden="1" x14ac:dyDescent="0.25">
      <c r="A521" s="12" t="str">
        <f ca="1">IF(F521+G521+H521+I521+J521+D521+E521=3,IF(Tabelle2[[#This Row],[Kappe Weiß]]=Limits!$R$29,1,""),"")</f>
        <v/>
      </c>
      <c r="B521" s="12" t="str">
        <f ca="1">IF(G521+H521+I521+J521+E521+F521=2,IF(Tabelle2[[#This Row],[Kappe Weiß]]=Limits!$R$29,1,""),"")</f>
        <v/>
      </c>
      <c r="C521" s="291">
        <v>0</v>
      </c>
      <c r="D521" s="171">
        <f>IF(Limits!$P$6=TRUE,1,0)</f>
        <v>0</v>
      </c>
      <c r="E521" s="172">
        <f>IF(Daten!$P521+Daten!$Q521+Daten!$S521=3,1,0)</f>
        <v>0</v>
      </c>
      <c r="F521" s="173">
        <f ca="1">IF(AND(Limits!$Q$21=TRUE,Daten!O521=1)=TRUE,1,0)</f>
        <v>0</v>
      </c>
      <c r="G521" s="174">
        <f>IF(AND(Limits!$Q$25=TRUE,Daten!N521=1)=TRUE,1,0)</f>
        <v>0</v>
      </c>
      <c r="H521" s="174">
        <f>IF(AND(Limits!$Q$24=TRUE,Daten!M521=1)=TRUE,1,0)</f>
        <v>0</v>
      </c>
      <c r="I521" s="174">
        <f>IF(AND(Limits!$Q$23=TRUE,Daten!L521=1)=TRUE,1,0)</f>
        <v>0</v>
      </c>
      <c r="J521" s="174">
        <f>IF(AND(Limits!$Q$22=TRUE,Daten!K521=1)=TRUE,1,0)</f>
        <v>0</v>
      </c>
      <c r="K521" s="188">
        <f>IF(Daten!$V521=13,1,0)</f>
        <v>0</v>
      </c>
      <c r="L521" s="189">
        <f>IF(Daten!$V521&lt;&gt;Daten!$W521,1,IF(Daten!$V521=14,1,0))</f>
        <v>1</v>
      </c>
      <c r="M521" s="189">
        <f>IF(Daten!$V521&lt;&gt;Daten!$W521,1,IF(Daten!$V521=16,1,0))</f>
        <v>0</v>
      </c>
      <c r="N521" s="189">
        <f>IF(Daten!$W521=17,1,0)</f>
        <v>0</v>
      </c>
      <c r="O521" s="190">
        <f ca="1">IF(Daten!$X521=Sprache!$A$70,1,0)</f>
        <v>0</v>
      </c>
      <c r="P521" s="191">
        <f>IF(AND(Daten!$AQ521&lt;=KINVARO!$AW$3,Daten!$AR521&gt;=KINVARO!$AW$3)=TRUE,1,0)</f>
        <v>1</v>
      </c>
      <c r="Q521" s="192">
        <f>IF(AND(Daten!$AA521&lt;=KINVARO!$AW$4,Daten!$AB521&gt;=KINVARO!$AW$4)=TRUE,1,0)</f>
        <v>0</v>
      </c>
      <c r="R521" s="192"/>
      <c r="S521" s="192">
        <f>IF(AND(Daten!$AD521&lt;=Limits!$I$70,Daten!$AE521&gt;=Limits!$I$70)=TRUE,1,0)</f>
        <v>0</v>
      </c>
      <c r="T521" s="193">
        <f ca="1">IF(Daten!$Y521=Sprache!$A$135,1,0)</f>
        <v>0</v>
      </c>
      <c r="U521" s="124" t="str">
        <f ca="1">Sprache!$A$68</f>
        <v>T-65 Поворотный подъемник</v>
      </c>
      <c r="V521" s="194">
        <v>14</v>
      </c>
      <c r="W521" s="193">
        <v>14</v>
      </c>
      <c r="X521" s="187" t="str">
        <f ca="1">Sprache!$A$141</f>
        <v>Alu</v>
      </c>
      <c r="Y521" s="187" t="str">
        <f ca="1">Sprache!$A$136</f>
        <v>nein</v>
      </c>
      <c r="Z521" s="187" t="str">
        <f ca="1">Sprache!$A$79</f>
        <v>Створка</v>
      </c>
      <c r="AA521" s="187">
        <v>250</v>
      </c>
      <c r="AB521" s="124">
        <v>299</v>
      </c>
      <c r="AC521" s="187"/>
      <c r="AD521" s="195">
        <v>1.8</v>
      </c>
      <c r="AE521" s="196">
        <v>4.2</v>
      </c>
      <c r="AF521" s="263" t="str">
        <f>MID(Tabelle2[[#This Row],[bnr full]],1,4)</f>
        <v>F151</v>
      </c>
      <c r="AG521" s="264" t="str">
        <f>MID(Tabelle2[[#This Row],[bnr full]],5,3)</f>
        <v>147</v>
      </c>
      <c r="AH521" s="265" t="str">
        <f>MID(Tabelle2[[#This Row],[bnr full]],8,3)</f>
        <v>679</v>
      </c>
      <c r="AI521" s="264" t="str">
        <f>MID(Tabelle2[[#This Row],[bnr full]],11,3)</f>
        <v>201</v>
      </c>
      <c r="AJ521" s="252" t="str">
        <f>MID(Tabelle2[[#This Row],[bnr full]],11,3)</f>
        <v>201</v>
      </c>
      <c r="AK521" s="197" t="s">
        <v>806</v>
      </c>
      <c r="AL521" s="124" t="str">
        <f ca="1">Sprache!$A$111</f>
        <v>Комплект (Л + П)</v>
      </c>
      <c r="AM521" s="187" t="s">
        <v>25</v>
      </c>
      <c r="AN521" s="187" t="str">
        <f ca="1">Sprache!$A$130</f>
        <v>Пружина, желтая, двусторонняя</v>
      </c>
      <c r="AO521" s="187" t="s">
        <v>25</v>
      </c>
      <c r="AP521" s="187" t="s">
        <v>25</v>
      </c>
      <c r="AQ521" s="187">
        <f>Limits!$K$9</f>
        <v>200</v>
      </c>
      <c r="AR521" s="124">
        <v>1200</v>
      </c>
      <c r="AS521" s="187"/>
      <c r="AT521" s="124"/>
      <c r="AV521"/>
      <c r="AX521" s="10"/>
      <c r="AY521" s="11"/>
      <c r="AZ521" s="2"/>
      <c r="BC521"/>
    </row>
    <row r="522" spans="1:55" hidden="1" x14ac:dyDescent="0.25">
      <c r="A522" s="12" t="str">
        <f ca="1">IF(F522+G522+H522+I522+J522+D522+E522=3,IF(Tabelle2[[#This Row],[Kappe Weiß]]=Limits!$R$29,1,""),"")</f>
        <v/>
      </c>
      <c r="B522" s="12" t="str">
        <f ca="1">IF(G522+H522+I522+J522+E522+F522=2,IF(Tabelle2[[#This Row],[Kappe Weiß]]=Limits!$R$29,1,""),"")</f>
        <v/>
      </c>
      <c r="C522" s="291">
        <v>0</v>
      </c>
      <c r="D522" s="171">
        <f>IF(Limits!$P$6=TRUE,1,0)</f>
        <v>0</v>
      </c>
      <c r="E522" s="172">
        <f>IF(Daten!$P522+Daten!$Q522+Daten!$S522=3,1,0)</f>
        <v>0</v>
      </c>
      <c r="F522" s="173">
        <f ca="1">IF(AND(Limits!$Q$21=TRUE,Daten!O522=1)=TRUE,1,0)</f>
        <v>0</v>
      </c>
      <c r="G522" s="174">
        <f>IF(AND(Limits!$Q$25=TRUE,Daten!N522=1)=TRUE,1,0)</f>
        <v>0</v>
      </c>
      <c r="H522" s="174">
        <f>IF(AND(Limits!$Q$24=TRUE,Daten!M522=1)=TRUE,1,0)</f>
        <v>0</v>
      </c>
      <c r="I522" s="174">
        <f>IF(AND(Limits!$Q$23=TRUE,Daten!L522=1)=TRUE,1,0)</f>
        <v>0</v>
      </c>
      <c r="J522" s="174">
        <f>IF(AND(Limits!$Q$22=TRUE,Daten!K522=1)=TRUE,1,0)</f>
        <v>0</v>
      </c>
      <c r="K522" s="188">
        <f>IF(Daten!$V522=13,1,0)</f>
        <v>0</v>
      </c>
      <c r="L522" s="189">
        <f>IF(Daten!$V522&lt;&gt;Daten!$W522,1,IF(Daten!$V522=14,1,0))</f>
        <v>1</v>
      </c>
      <c r="M522" s="189">
        <f>IF(Daten!$V522&lt;&gt;Daten!$W522,1,IF(Daten!$V522=16,1,0))</f>
        <v>0</v>
      </c>
      <c r="N522" s="189">
        <f>IF(Daten!$W522=17,1,0)</f>
        <v>0</v>
      </c>
      <c r="O522" s="190">
        <f ca="1">IF(Daten!$X522=Sprache!$A$70,1,0)</f>
        <v>0</v>
      </c>
      <c r="P522" s="191">
        <f>IF(AND(Daten!$AQ522&lt;=KINVARO!$AW$3,Daten!$AR522&gt;=KINVARO!$AW$3)=TRUE,1,0)</f>
        <v>1</v>
      </c>
      <c r="Q522" s="192">
        <f>IF(AND(Daten!$AA522&lt;=KINVARO!$AW$4,Daten!$AB522&gt;=KINVARO!$AW$4)=TRUE,1,0)</f>
        <v>0</v>
      </c>
      <c r="R522" s="192"/>
      <c r="S522" s="192">
        <f>IF(AND(Daten!$AD522&lt;=Limits!$I$70,Daten!$AE522&gt;=Limits!$I$70)=TRUE,1,0)</f>
        <v>0</v>
      </c>
      <c r="T522" s="193">
        <f ca="1">IF(Daten!$Y522=Sprache!$A$135,1,0)</f>
        <v>0</v>
      </c>
      <c r="U522" s="124" t="str">
        <f ca="1">Sprache!$A$68</f>
        <v>T-65 Поворотный подъемник</v>
      </c>
      <c r="V522" s="194">
        <v>14</v>
      </c>
      <c r="W522" s="193">
        <v>14</v>
      </c>
      <c r="X522" s="187" t="str">
        <f ca="1">Sprache!$A$141</f>
        <v>Alu</v>
      </c>
      <c r="Y522" s="187" t="str">
        <f ca="1">Sprache!$A$136</f>
        <v>nein</v>
      </c>
      <c r="Z522" s="187" t="str">
        <f ca="1">Sprache!$A$79</f>
        <v>Створка</v>
      </c>
      <c r="AA522" s="187">
        <v>250</v>
      </c>
      <c r="AB522" s="124">
        <v>299</v>
      </c>
      <c r="AC522" s="187"/>
      <c r="AD522" s="195">
        <v>2.4</v>
      </c>
      <c r="AE522" s="196">
        <v>7.4</v>
      </c>
      <c r="AF522" s="263" t="str">
        <f>MID(Tabelle2[[#This Row],[bnr full]],1,4)</f>
        <v>F151</v>
      </c>
      <c r="AG522" s="264" t="str">
        <f>MID(Tabelle2[[#This Row],[bnr full]],5,3)</f>
        <v>147</v>
      </c>
      <c r="AH522" s="265" t="str">
        <f>MID(Tabelle2[[#This Row],[bnr full]],8,3)</f>
        <v>679</v>
      </c>
      <c r="AI522" s="264" t="str">
        <f>MID(Tabelle2[[#This Row],[bnr full]],11,3)</f>
        <v>201</v>
      </c>
      <c r="AJ522" s="252" t="str">
        <f>MID(Tabelle2[[#This Row],[bnr full]],11,3)</f>
        <v>201</v>
      </c>
      <c r="AK522" s="197" t="s">
        <v>806</v>
      </c>
      <c r="AL522" s="124" t="str">
        <f ca="1">Sprache!$A$111</f>
        <v>Комплект (Л + П)</v>
      </c>
      <c r="AM522" s="187" t="s">
        <v>25</v>
      </c>
      <c r="AN522" s="187" t="str">
        <f ca="1">Sprache!$A$131</f>
        <v>Пружина, черная, двусторонняя</v>
      </c>
      <c r="AO522" s="187" t="s">
        <v>25</v>
      </c>
      <c r="AP522" s="187" t="s">
        <v>25</v>
      </c>
      <c r="AQ522" s="187">
        <f>Limits!$K$9</f>
        <v>200</v>
      </c>
      <c r="AR522" s="124">
        <v>1200</v>
      </c>
      <c r="AS522" s="187"/>
      <c r="AT522" s="124"/>
      <c r="AV522"/>
      <c r="AX522" s="10"/>
      <c r="AY522" s="11"/>
      <c r="AZ522" s="2"/>
      <c r="BC522"/>
    </row>
    <row r="523" spans="1:55" hidden="1" x14ac:dyDescent="0.25">
      <c r="A523" s="12" t="str">
        <f ca="1">IF(F523+G523+H523+I523+J523+D523+E523=3,IF(Tabelle2[[#This Row],[Kappe Weiß]]=Limits!$R$29,1,""),"")</f>
        <v/>
      </c>
      <c r="B523" s="12" t="str">
        <f ca="1">IF(G523+H523+I523+J523+E523+F523=2,IF(Tabelle2[[#This Row],[Kappe Weiß]]=Limits!$R$29,1,""),"")</f>
        <v/>
      </c>
      <c r="C523" s="291">
        <v>0</v>
      </c>
      <c r="D523" s="171">
        <f>IF(Limits!$P$6=TRUE,1,0)</f>
        <v>0</v>
      </c>
      <c r="E523" s="172">
        <f>IF(Daten!$P523+Daten!$Q523+Daten!$S523=3,1,0)</f>
        <v>0</v>
      </c>
      <c r="F523" s="173">
        <f ca="1">IF(AND(Limits!$Q$21=TRUE,Daten!O523=1)=TRUE,1,0)</f>
        <v>0</v>
      </c>
      <c r="G523" s="174">
        <f>IF(AND(Limits!$Q$25=TRUE,Daten!N523=1)=TRUE,1,0)</f>
        <v>0</v>
      </c>
      <c r="H523" s="174">
        <f>IF(AND(Limits!$Q$24=TRUE,Daten!M523=1)=TRUE,1,0)</f>
        <v>0</v>
      </c>
      <c r="I523" s="174">
        <f>IF(AND(Limits!$Q$23=TRUE,Daten!L523=1)=TRUE,1,0)</f>
        <v>0</v>
      </c>
      <c r="J523" s="174">
        <f>IF(AND(Limits!$Q$22=TRUE,Daten!K523=1)=TRUE,1,0)</f>
        <v>0</v>
      </c>
      <c r="K523" s="188">
        <f>IF(Daten!$V523=13,1,0)</f>
        <v>0</v>
      </c>
      <c r="L523" s="189">
        <f>IF(Daten!$V523&lt;&gt;Daten!$W523,1,IF(Daten!$V523=14,1,0))</f>
        <v>0</v>
      </c>
      <c r="M523" s="189">
        <f>IF(Daten!$V523&lt;&gt;Daten!$W523,1,IF(Daten!$V523=16,1,0))</f>
        <v>1</v>
      </c>
      <c r="N523" s="189">
        <f>IF(Daten!$W523=17,1,0)</f>
        <v>0</v>
      </c>
      <c r="O523" s="190">
        <f ca="1">IF(Daten!$X523=Sprache!$A$70,1,0)</f>
        <v>0</v>
      </c>
      <c r="P523" s="191">
        <f>IF(AND(Daten!$AQ523&lt;=KINVARO!$AW$3,Daten!$AR523&gt;=KINVARO!$AW$3)=TRUE,1,0)</f>
        <v>1</v>
      </c>
      <c r="Q523" s="192">
        <f>IF(AND(Daten!$AA523&lt;=KINVARO!$AW$4,Daten!$AB523&gt;=KINVARO!$AW$4)=TRUE,1,0)</f>
        <v>0</v>
      </c>
      <c r="R523" s="192"/>
      <c r="S523" s="192">
        <f>IF(AND(Daten!$AD523&lt;=Limits!$I$70,Daten!$AE523&gt;=Limits!$I$70)=TRUE,1,0)</f>
        <v>0</v>
      </c>
      <c r="T523" s="193">
        <f ca="1">IF(Daten!$Y523=Sprache!$A$135,1,0)</f>
        <v>0</v>
      </c>
      <c r="U523" s="124" t="str">
        <f ca="1">Sprache!$A$68</f>
        <v>T-65 Поворотный подъемник</v>
      </c>
      <c r="V523" s="194">
        <v>16</v>
      </c>
      <c r="W523" s="193">
        <v>16</v>
      </c>
      <c r="X523" s="187" t="str">
        <f ca="1">Sprache!$A$141</f>
        <v>Alu</v>
      </c>
      <c r="Y523" s="187" t="str">
        <f ca="1">Sprache!$A$136</f>
        <v>nein</v>
      </c>
      <c r="Z523" s="187" t="str">
        <f ca="1">Sprache!$A$79</f>
        <v>Створка</v>
      </c>
      <c r="AA523" s="187">
        <v>250</v>
      </c>
      <c r="AB523" s="124">
        <v>299</v>
      </c>
      <c r="AC523" s="187"/>
      <c r="AD523" s="195">
        <v>0.9</v>
      </c>
      <c r="AE523" s="196">
        <v>2.1</v>
      </c>
      <c r="AF523" s="263" t="str">
        <f>MID(Tabelle2[[#This Row],[bnr full]],1,4)</f>
        <v>F151</v>
      </c>
      <c r="AG523" s="264" t="str">
        <f>MID(Tabelle2[[#This Row],[bnr full]],5,3)</f>
        <v>147</v>
      </c>
      <c r="AH523" s="265" t="str">
        <f>MID(Tabelle2[[#This Row],[bnr full]],8,3)</f>
        <v>680</v>
      </c>
      <c r="AI523" s="264" t="str">
        <f>MID(Tabelle2[[#This Row],[bnr full]],11,3)</f>
        <v>201</v>
      </c>
      <c r="AJ523" s="252" t="str">
        <f>MID(Tabelle2[[#This Row],[bnr full]],11,3)</f>
        <v>201</v>
      </c>
      <c r="AK523" s="197" t="s">
        <v>807</v>
      </c>
      <c r="AL523" s="124" t="str">
        <f ca="1">Sprache!$A$111</f>
        <v>Комплект (Л + П)</v>
      </c>
      <c r="AM523" s="187" t="s">
        <v>25</v>
      </c>
      <c r="AN523" s="187" t="str">
        <f ca="1">Sprache!$A$129</f>
        <v>Пружина, желтая, односторонняя</v>
      </c>
      <c r="AO523" s="187" t="s">
        <v>25</v>
      </c>
      <c r="AP523" s="187" t="s">
        <v>25</v>
      </c>
      <c r="AQ523" s="187">
        <f>Limits!$K$9</f>
        <v>200</v>
      </c>
      <c r="AR523" s="124">
        <v>1200</v>
      </c>
      <c r="AS523" s="187"/>
      <c r="AT523" s="124"/>
      <c r="AV523"/>
      <c r="AX523" s="10"/>
      <c r="AY523" s="11"/>
      <c r="AZ523" s="2"/>
      <c r="BC523"/>
    </row>
    <row r="524" spans="1:55" hidden="1" x14ac:dyDescent="0.25">
      <c r="A524" s="12" t="str">
        <f ca="1">IF(F524+G524+H524+I524+J524+D524+E524=3,IF(Tabelle2[[#This Row],[Kappe Weiß]]=Limits!$R$29,1,""),"")</f>
        <v/>
      </c>
      <c r="B524" s="12" t="str">
        <f ca="1">IF(G524+H524+I524+J524+E524+F524=2,IF(Tabelle2[[#This Row],[Kappe Weiß]]=Limits!$R$29,1,""),"")</f>
        <v/>
      </c>
      <c r="C524" s="291">
        <v>0</v>
      </c>
      <c r="D524" s="171">
        <f>IF(Limits!$P$6=TRUE,1,0)</f>
        <v>0</v>
      </c>
      <c r="E524" s="172">
        <f>IF(Daten!$P524+Daten!$Q524+Daten!$S524=3,1,0)</f>
        <v>0</v>
      </c>
      <c r="F524" s="173">
        <f ca="1">IF(AND(Limits!$Q$21=TRUE,Daten!O524=1)=TRUE,1,0)</f>
        <v>0</v>
      </c>
      <c r="G524" s="174">
        <f>IF(AND(Limits!$Q$25=TRUE,Daten!N524=1)=TRUE,1,0)</f>
        <v>0</v>
      </c>
      <c r="H524" s="174">
        <f>IF(AND(Limits!$Q$24=TRUE,Daten!M524=1)=TRUE,1,0)</f>
        <v>0</v>
      </c>
      <c r="I524" s="174">
        <f>IF(AND(Limits!$Q$23=TRUE,Daten!L524=1)=TRUE,1,0)</f>
        <v>0</v>
      </c>
      <c r="J524" s="174">
        <f>IF(AND(Limits!$Q$22=TRUE,Daten!K524=1)=TRUE,1,0)</f>
        <v>0</v>
      </c>
      <c r="K524" s="188">
        <f>IF(Daten!$V524=13,1,0)</f>
        <v>0</v>
      </c>
      <c r="L524" s="189">
        <f>IF(Daten!$V524&lt;&gt;Daten!$W524,1,IF(Daten!$V524=14,1,0))</f>
        <v>0</v>
      </c>
      <c r="M524" s="189">
        <f>IF(Daten!$V524&lt;&gt;Daten!$W524,1,IF(Daten!$V524=16,1,0))</f>
        <v>1</v>
      </c>
      <c r="N524" s="189">
        <f>IF(Daten!$W524=17,1,0)</f>
        <v>0</v>
      </c>
      <c r="O524" s="190">
        <f ca="1">IF(Daten!$X524=Sprache!$A$70,1,0)</f>
        <v>0</v>
      </c>
      <c r="P524" s="191">
        <f>IF(AND(Daten!$AQ524&lt;=KINVARO!$AW$3,Daten!$AR524&gt;=KINVARO!$AW$3)=TRUE,1,0)</f>
        <v>1</v>
      </c>
      <c r="Q524" s="192">
        <f>IF(AND(Daten!$AA524&lt;=KINVARO!$AW$4,Daten!$AB524&gt;=KINVARO!$AW$4)=TRUE,1,0)</f>
        <v>0</v>
      </c>
      <c r="R524" s="192"/>
      <c r="S524" s="192">
        <f>IF(AND(Daten!$AD524&lt;=Limits!$I$70,Daten!$AE524&gt;=Limits!$I$70)=TRUE,1,0)</f>
        <v>0</v>
      </c>
      <c r="T524" s="193">
        <f ca="1">IF(Daten!$Y524=Sprache!$A$135,1,0)</f>
        <v>0</v>
      </c>
      <c r="U524" s="124" t="str">
        <f ca="1">Sprache!$A$68</f>
        <v>T-65 Поворотный подъемник</v>
      </c>
      <c r="V524" s="194">
        <v>16</v>
      </c>
      <c r="W524" s="193">
        <v>16</v>
      </c>
      <c r="X524" s="187" t="str">
        <f ca="1">Sprache!$A$141</f>
        <v>Alu</v>
      </c>
      <c r="Y524" s="187" t="str">
        <f ca="1">Sprache!$A$136</f>
        <v>nein</v>
      </c>
      <c r="Z524" s="187" t="str">
        <f ca="1">Sprache!$A$79</f>
        <v>Створка</v>
      </c>
      <c r="AA524" s="187">
        <v>250</v>
      </c>
      <c r="AB524" s="124">
        <v>299</v>
      </c>
      <c r="AC524" s="187"/>
      <c r="AD524" s="195">
        <v>1.8</v>
      </c>
      <c r="AE524" s="196">
        <v>4.2</v>
      </c>
      <c r="AF524" s="263" t="str">
        <f>MID(Tabelle2[[#This Row],[bnr full]],1,4)</f>
        <v>F151</v>
      </c>
      <c r="AG524" s="264" t="str">
        <f>MID(Tabelle2[[#This Row],[bnr full]],5,3)</f>
        <v>147</v>
      </c>
      <c r="AH524" s="265" t="str">
        <f>MID(Tabelle2[[#This Row],[bnr full]],8,3)</f>
        <v>680</v>
      </c>
      <c r="AI524" s="264" t="str">
        <f>MID(Tabelle2[[#This Row],[bnr full]],11,3)</f>
        <v>201</v>
      </c>
      <c r="AJ524" s="252" t="str">
        <f>MID(Tabelle2[[#This Row],[bnr full]],11,3)</f>
        <v>201</v>
      </c>
      <c r="AK524" s="197" t="s">
        <v>807</v>
      </c>
      <c r="AL524" s="124" t="str">
        <f ca="1">Sprache!$A$111</f>
        <v>Комплект (Л + П)</v>
      </c>
      <c r="AM524" s="187" t="s">
        <v>25</v>
      </c>
      <c r="AN524" s="187" t="str">
        <f ca="1">Sprache!$A$130</f>
        <v>Пружина, желтая, двусторонняя</v>
      </c>
      <c r="AO524" s="187" t="s">
        <v>25</v>
      </c>
      <c r="AP524" s="187" t="s">
        <v>25</v>
      </c>
      <c r="AQ524" s="187">
        <f>Limits!$K$9</f>
        <v>200</v>
      </c>
      <c r="AR524" s="124">
        <v>1200</v>
      </c>
      <c r="AS524" s="187"/>
      <c r="AT524" s="124"/>
      <c r="AV524"/>
      <c r="AX524" s="10"/>
      <c r="AY524" s="11"/>
      <c r="AZ524" s="2"/>
      <c r="BC524"/>
    </row>
    <row r="525" spans="1:55" hidden="1" x14ac:dyDescent="0.25">
      <c r="A525" s="12" t="str">
        <f ca="1">IF(F525+G525+H525+I525+J525+D525+E525=3,IF(Tabelle2[[#This Row],[Kappe Weiß]]=Limits!$R$29,1,""),"")</f>
        <v/>
      </c>
      <c r="B525" s="12" t="str">
        <f ca="1">IF(G525+H525+I525+J525+E525+F525=2,IF(Tabelle2[[#This Row],[Kappe Weiß]]=Limits!$R$29,1,""),"")</f>
        <v/>
      </c>
      <c r="C525" s="291">
        <v>0</v>
      </c>
      <c r="D525" s="171">
        <f>IF(Limits!$P$6=TRUE,1,0)</f>
        <v>0</v>
      </c>
      <c r="E525" s="172">
        <f>IF(Daten!$P525+Daten!$Q525+Daten!$S525=3,1,0)</f>
        <v>0</v>
      </c>
      <c r="F525" s="173">
        <f ca="1">IF(AND(Limits!$Q$21=TRUE,Daten!O525=1)=TRUE,1,0)</f>
        <v>0</v>
      </c>
      <c r="G525" s="174">
        <f>IF(AND(Limits!$Q$25=TRUE,Daten!N525=1)=TRUE,1,0)</f>
        <v>0</v>
      </c>
      <c r="H525" s="174">
        <f>IF(AND(Limits!$Q$24=TRUE,Daten!M525=1)=TRUE,1,0)</f>
        <v>0</v>
      </c>
      <c r="I525" s="174">
        <f>IF(AND(Limits!$Q$23=TRUE,Daten!L525=1)=TRUE,1,0)</f>
        <v>0</v>
      </c>
      <c r="J525" s="174">
        <f>IF(AND(Limits!$Q$22=TRUE,Daten!K525=1)=TRUE,1,0)</f>
        <v>0</v>
      </c>
      <c r="K525" s="188">
        <f>IF(Daten!$V525=13,1,0)</f>
        <v>0</v>
      </c>
      <c r="L525" s="189">
        <f>IF(Daten!$V525&lt;&gt;Daten!$W525,1,IF(Daten!$V525=14,1,0))</f>
        <v>0</v>
      </c>
      <c r="M525" s="189">
        <f>IF(Daten!$V525&lt;&gt;Daten!$W525,1,IF(Daten!$V525=16,1,0))</f>
        <v>1</v>
      </c>
      <c r="N525" s="189">
        <f>IF(Daten!$W525=17,1,0)</f>
        <v>0</v>
      </c>
      <c r="O525" s="190">
        <f ca="1">IF(Daten!$X525=Sprache!$A$70,1,0)</f>
        <v>0</v>
      </c>
      <c r="P525" s="191">
        <f>IF(AND(Daten!$AQ525&lt;=KINVARO!$AW$3,Daten!$AR525&gt;=KINVARO!$AW$3)=TRUE,1,0)</f>
        <v>1</v>
      </c>
      <c r="Q525" s="192">
        <f>IF(AND(Daten!$AA525&lt;=KINVARO!$AW$4,Daten!$AB525&gt;=KINVARO!$AW$4)=TRUE,1,0)</f>
        <v>0</v>
      </c>
      <c r="R525" s="192"/>
      <c r="S525" s="192">
        <f>IF(AND(Daten!$AD525&lt;=Limits!$I$70,Daten!$AE525&gt;=Limits!$I$70)=TRUE,1,0)</f>
        <v>0</v>
      </c>
      <c r="T525" s="193">
        <f ca="1">IF(Daten!$Y525=Sprache!$A$135,1,0)</f>
        <v>0</v>
      </c>
      <c r="U525" s="124" t="str">
        <f ca="1">Sprache!$A$68</f>
        <v>T-65 Поворотный подъемник</v>
      </c>
      <c r="V525" s="194">
        <v>16</v>
      </c>
      <c r="W525" s="193">
        <v>16</v>
      </c>
      <c r="X525" s="187" t="str">
        <f ca="1">Sprache!$A$141</f>
        <v>Alu</v>
      </c>
      <c r="Y525" s="187" t="str">
        <f ca="1">Sprache!$A$136</f>
        <v>nein</v>
      </c>
      <c r="Z525" s="187" t="str">
        <f ca="1">Sprache!$A$79</f>
        <v>Створка</v>
      </c>
      <c r="AA525" s="187">
        <v>250</v>
      </c>
      <c r="AB525" s="124">
        <v>299</v>
      </c>
      <c r="AC525" s="187"/>
      <c r="AD525" s="195">
        <v>2.4</v>
      </c>
      <c r="AE525" s="196">
        <v>7.4</v>
      </c>
      <c r="AF525" s="263" t="str">
        <f>MID(Tabelle2[[#This Row],[bnr full]],1,4)</f>
        <v>F151</v>
      </c>
      <c r="AG525" s="264" t="str">
        <f>MID(Tabelle2[[#This Row],[bnr full]],5,3)</f>
        <v>147</v>
      </c>
      <c r="AH525" s="265" t="str">
        <f>MID(Tabelle2[[#This Row],[bnr full]],8,3)</f>
        <v>680</v>
      </c>
      <c r="AI525" s="264" t="str">
        <f>MID(Tabelle2[[#This Row],[bnr full]],11,3)</f>
        <v>201</v>
      </c>
      <c r="AJ525" s="252" t="str">
        <f>MID(Tabelle2[[#This Row],[bnr full]],11,3)</f>
        <v>201</v>
      </c>
      <c r="AK525" s="197" t="s">
        <v>807</v>
      </c>
      <c r="AL525" s="124" t="str">
        <f ca="1">Sprache!$A$111</f>
        <v>Комплект (Л + П)</v>
      </c>
      <c r="AM525" s="187" t="s">
        <v>25</v>
      </c>
      <c r="AN525" s="187" t="str">
        <f ca="1">Sprache!$A$131</f>
        <v>Пружина, черная, двусторонняя</v>
      </c>
      <c r="AO525" s="187" t="s">
        <v>25</v>
      </c>
      <c r="AP525" s="187" t="s">
        <v>25</v>
      </c>
      <c r="AQ525" s="187">
        <f>Limits!$K$9</f>
        <v>200</v>
      </c>
      <c r="AR525" s="124">
        <v>1200</v>
      </c>
      <c r="AS525" s="187"/>
      <c r="AT525" s="124"/>
      <c r="AV525"/>
      <c r="AX525" s="10"/>
      <c r="AY525" s="11"/>
      <c r="AZ525" s="2"/>
      <c r="BC525"/>
    </row>
    <row r="526" spans="1:55" hidden="1" x14ac:dyDescent="0.25">
      <c r="A526" s="12" t="str">
        <f ca="1">IF(F526+G526+H526+I526+J526+D526+E526=3,IF(Tabelle2[[#This Row],[Kappe Weiß]]=Limits!$R$29,1,""),"")</f>
        <v/>
      </c>
      <c r="B526" s="12" t="str">
        <f ca="1">IF(G526+H526+I526+J526+E526+F526=2,IF(Tabelle2[[#This Row],[Kappe Weiß]]=Limits!$R$29,1,""),"")</f>
        <v/>
      </c>
      <c r="C526" s="291">
        <v>0</v>
      </c>
      <c r="D526" s="171">
        <f>IF(Limits!$P$6=TRUE,1,0)</f>
        <v>0</v>
      </c>
      <c r="E526" s="172">
        <f>IF(Daten!$P526+Daten!$Q526+Daten!$S526=3,1,0)</f>
        <v>0</v>
      </c>
      <c r="F526" s="173">
        <f ca="1">IF(AND(Limits!$Q$21=TRUE,Daten!O526=1)=TRUE,1,0)</f>
        <v>0</v>
      </c>
      <c r="G526" s="174">
        <f>IF(AND(Limits!$Q$25=TRUE,Daten!N526=1)=TRUE,1,0)</f>
        <v>0</v>
      </c>
      <c r="H526" s="174">
        <f>IF(AND(Limits!$Q$24=TRUE,Daten!M526=1)=TRUE,1,0)</f>
        <v>0</v>
      </c>
      <c r="I526" s="174">
        <f>IF(AND(Limits!$Q$23=TRUE,Daten!L526=1)=TRUE,1,0)</f>
        <v>0</v>
      </c>
      <c r="J526" s="174">
        <f>IF(AND(Limits!$Q$22=TRUE,Daten!K526=1)=TRUE,1,0)</f>
        <v>0</v>
      </c>
      <c r="K526" s="188">
        <f>IF(Daten!$V526=13,1,0)</f>
        <v>0</v>
      </c>
      <c r="L526" s="189">
        <f>IF(Daten!$V526&lt;&gt;Daten!$W526,1,IF(Daten!$V526=14,1,0))</f>
        <v>0</v>
      </c>
      <c r="M526" s="189">
        <f>IF(Daten!$V526&lt;&gt;Daten!$W526,1,IF(Daten!$V526=16,1,0))</f>
        <v>0</v>
      </c>
      <c r="N526" s="189">
        <f>IF(Daten!$W526=17,1,0)</f>
        <v>1</v>
      </c>
      <c r="O526" s="190">
        <f ca="1">IF(Daten!$X526=Sprache!$A$70,1,0)</f>
        <v>0</v>
      </c>
      <c r="P526" s="191">
        <f>IF(AND(Daten!$AQ526&lt;=KINVARO!$AW$3,Daten!$AR526&gt;=KINVARO!$AW$3)=TRUE,1,0)</f>
        <v>1</v>
      </c>
      <c r="Q526" s="192">
        <f>IF(AND(Daten!$AA526&lt;=KINVARO!$AW$4,Daten!$AB526&gt;=KINVARO!$AW$4)=TRUE,1,0)</f>
        <v>0</v>
      </c>
      <c r="R526" s="192"/>
      <c r="S526" s="192">
        <f>IF(AND(Daten!$AD526&lt;=Limits!$I$70,Daten!$AE526&gt;=Limits!$I$70)=TRUE,1,0)</f>
        <v>0</v>
      </c>
      <c r="T526" s="193">
        <f ca="1">IF(Daten!$Y526=Sprache!$A$135,1,0)</f>
        <v>0</v>
      </c>
      <c r="U526" s="124" t="str">
        <f ca="1">Sprache!$A$68</f>
        <v>T-65 Поворотный подъемник</v>
      </c>
      <c r="V526" s="194">
        <v>17</v>
      </c>
      <c r="W526" s="193">
        <v>17</v>
      </c>
      <c r="X526" s="187" t="str">
        <f ca="1">Sprache!$A$141</f>
        <v>Alu</v>
      </c>
      <c r="Y526" s="187" t="str">
        <f ca="1">Sprache!$A$136</f>
        <v>nein</v>
      </c>
      <c r="Z526" s="187" t="str">
        <f ca="1">Sprache!$A$79</f>
        <v>Створка</v>
      </c>
      <c r="AA526" s="187">
        <v>250</v>
      </c>
      <c r="AB526" s="124">
        <v>299</v>
      </c>
      <c r="AC526" s="187"/>
      <c r="AD526" s="195">
        <v>0.9</v>
      </c>
      <c r="AE526" s="196">
        <v>2.1</v>
      </c>
      <c r="AF526" s="263" t="str">
        <f>MID(Tabelle2[[#This Row],[bnr full]],1,4)</f>
        <v>F151</v>
      </c>
      <c r="AG526" s="264" t="str">
        <f>MID(Tabelle2[[#This Row],[bnr full]],5,3)</f>
        <v>147</v>
      </c>
      <c r="AH526" s="265" t="str">
        <f>MID(Tabelle2[[#This Row],[bnr full]],8,3)</f>
        <v>681</v>
      </c>
      <c r="AI526" s="264" t="str">
        <f>MID(Tabelle2[[#This Row],[bnr full]],11,3)</f>
        <v>201</v>
      </c>
      <c r="AJ526" s="252" t="str">
        <f>MID(Tabelle2[[#This Row],[bnr full]],11,3)</f>
        <v>201</v>
      </c>
      <c r="AK526" s="197" t="s">
        <v>808</v>
      </c>
      <c r="AL526" s="124" t="str">
        <f ca="1">Sprache!$A$111</f>
        <v>Комплект (Л + П)</v>
      </c>
      <c r="AM526" s="187" t="s">
        <v>25</v>
      </c>
      <c r="AN526" s="187" t="str">
        <f ca="1">Sprache!$A$129</f>
        <v>Пружина, желтая, односторонняя</v>
      </c>
      <c r="AO526" s="187" t="s">
        <v>25</v>
      </c>
      <c r="AP526" s="187" t="s">
        <v>25</v>
      </c>
      <c r="AQ526" s="187">
        <f>Limits!$K$9</f>
        <v>200</v>
      </c>
      <c r="AR526" s="124">
        <v>1200</v>
      </c>
      <c r="AS526" s="187"/>
      <c r="AT526" s="124"/>
      <c r="AV526"/>
      <c r="AX526" s="10"/>
      <c r="AY526" s="11"/>
      <c r="AZ526" s="2"/>
      <c r="BC526"/>
    </row>
    <row r="527" spans="1:55" hidden="1" x14ac:dyDescent="0.25">
      <c r="A527" s="12" t="str">
        <f ca="1">IF(F527+G527+H527+I527+J527+D527+E527=3,IF(Tabelle2[[#This Row],[Kappe Weiß]]=Limits!$R$29,1,""),"")</f>
        <v/>
      </c>
      <c r="B527" s="12" t="str">
        <f ca="1">IF(G527+H527+I527+J527+E527+F527=2,IF(Tabelle2[[#This Row],[Kappe Weiß]]=Limits!$R$29,1,""),"")</f>
        <v/>
      </c>
      <c r="C527" s="291">
        <v>0</v>
      </c>
      <c r="D527" s="171">
        <f>IF(Limits!$P$6=TRUE,1,0)</f>
        <v>0</v>
      </c>
      <c r="E527" s="172">
        <f>IF(Daten!$P527+Daten!$Q527+Daten!$S527=3,1,0)</f>
        <v>0</v>
      </c>
      <c r="F527" s="173">
        <f ca="1">IF(AND(Limits!$Q$21=TRUE,Daten!O527=1)=TRUE,1,0)</f>
        <v>0</v>
      </c>
      <c r="G527" s="174">
        <f>IF(AND(Limits!$Q$25=TRUE,Daten!N527=1)=TRUE,1,0)</f>
        <v>0</v>
      </c>
      <c r="H527" s="174">
        <f>IF(AND(Limits!$Q$24=TRUE,Daten!M527=1)=TRUE,1,0)</f>
        <v>0</v>
      </c>
      <c r="I527" s="174">
        <f>IF(AND(Limits!$Q$23=TRUE,Daten!L527=1)=TRUE,1,0)</f>
        <v>0</v>
      </c>
      <c r="J527" s="174">
        <f>IF(AND(Limits!$Q$22=TRUE,Daten!K527=1)=TRUE,1,0)</f>
        <v>0</v>
      </c>
      <c r="K527" s="188">
        <f>IF(Daten!$V527=13,1,0)</f>
        <v>0</v>
      </c>
      <c r="L527" s="189">
        <f>IF(Daten!$V527&lt;&gt;Daten!$W527,1,IF(Daten!$V527=14,1,0))</f>
        <v>0</v>
      </c>
      <c r="M527" s="189">
        <f>IF(Daten!$V527&lt;&gt;Daten!$W527,1,IF(Daten!$V527=16,1,0))</f>
        <v>0</v>
      </c>
      <c r="N527" s="189">
        <f>IF(Daten!$W527=17,1,0)</f>
        <v>1</v>
      </c>
      <c r="O527" s="190">
        <f ca="1">IF(Daten!$X527=Sprache!$A$70,1,0)</f>
        <v>0</v>
      </c>
      <c r="P527" s="191">
        <f>IF(AND(Daten!$AQ527&lt;=KINVARO!$AW$3,Daten!$AR527&gt;=KINVARO!$AW$3)=TRUE,1,0)</f>
        <v>1</v>
      </c>
      <c r="Q527" s="192">
        <f>IF(AND(Daten!$AA527&lt;=KINVARO!$AW$4,Daten!$AB527&gt;=KINVARO!$AW$4)=TRUE,1,0)</f>
        <v>0</v>
      </c>
      <c r="R527" s="192"/>
      <c r="S527" s="192">
        <f>IF(AND(Daten!$AD527&lt;=Limits!$I$70,Daten!$AE527&gt;=Limits!$I$70)=TRUE,1,0)</f>
        <v>0</v>
      </c>
      <c r="T527" s="193">
        <f ca="1">IF(Daten!$Y527=Sprache!$A$135,1,0)</f>
        <v>0</v>
      </c>
      <c r="U527" s="124" t="str">
        <f ca="1">Sprache!$A$68</f>
        <v>T-65 Поворотный подъемник</v>
      </c>
      <c r="V527" s="194">
        <v>17</v>
      </c>
      <c r="W527" s="193">
        <v>17</v>
      </c>
      <c r="X527" s="187" t="str">
        <f ca="1">Sprache!$A$141</f>
        <v>Alu</v>
      </c>
      <c r="Y527" s="187" t="str">
        <f ca="1">Sprache!$A$136</f>
        <v>nein</v>
      </c>
      <c r="Z527" s="187" t="str">
        <f ca="1">Sprache!$A$79</f>
        <v>Створка</v>
      </c>
      <c r="AA527" s="187">
        <v>250</v>
      </c>
      <c r="AB527" s="124">
        <v>299</v>
      </c>
      <c r="AC527" s="187"/>
      <c r="AD527" s="195">
        <v>1.8</v>
      </c>
      <c r="AE527" s="196">
        <v>4.2</v>
      </c>
      <c r="AF527" s="263" t="str">
        <f>MID(Tabelle2[[#This Row],[bnr full]],1,4)</f>
        <v>F151</v>
      </c>
      <c r="AG527" s="264" t="str">
        <f>MID(Tabelle2[[#This Row],[bnr full]],5,3)</f>
        <v>147</v>
      </c>
      <c r="AH527" s="265" t="str">
        <f>MID(Tabelle2[[#This Row],[bnr full]],8,3)</f>
        <v>681</v>
      </c>
      <c r="AI527" s="264" t="str">
        <f>MID(Tabelle2[[#This Row],[bnr full]],11,3)</f>
        <v>201</v>
      </c>
      <c r="AJ527" s="252" t="str">
        <f>MID(Tabelle2[[#This Row],[bnr full]],11,3)</f>
        <v>201</v>
      </c>
      <c r="AK527" s="197" t="s">
        <v>808</v>
      </c>
      <c r="AL527" s="124" t="str">
        <f ca="1">Sprache!$A$111</f>
        <v>Комплект (Л + П)</v>
      </c>
      <c r="AM527" s="187" t="s">
        <v>25</v>
      </c>
      <c r="AN527" s="187" t="str">
        <f ca="1">Sprache!$A$130</f>
        <v>Пружина, желтая, двусторонняя</v>
      </c>
      <c r="AO527" s="187" t="s">
        <v>25</v>
      </c>
      <c r="AP527" s="187" t="s">
        <v>25</v>
      </c>
      <c r="AQ527" s="187">
        <f>Limits!$K$9</f>
        <v>200</v>
      </c>
      <c r="AR527" s="124">
        <v>1200</v>
      </c>
      <c r="AS527" s="187"/>
      <c r="AT527" s="124"/>
      <c r="AV527"/>
      <c r="AX527" s="10"/>
      <c r="AY527" s="11"/>
      <c r="AZ527" s="2"/>
      <c r="BC527"/>
    </row>
    <row r="528" spans="1:55" hidden="1" x14ac:dyDescent="0.25">
      <c r="A528" s="12" t="str">
        <f ca="1">IF(F528+G528+H528+I528+J528+D528+E528=3,IF(Tabelle2[[#This Row],[Kappe Weiß]]=Limits!$R$29,1,""),"")</f>
        <v/>
      </c>
      <c r="B528" s="12" t="str">
        <f ca="1">IF(G528+H528+I528+J528+E528+F528=2,IF(Tabelle2[[#This Row],[Kappe Weiß]]=Limits!$R$29,1,""),"")</f>
        <v/>
      </c>
      <c r="C528" s="291">
        <v>0</v>
      </c>
      <c r="D528" s="171">
        <f>IF(Limits!$P$6=TRUE,1,0)</f>
        <v>0</v>
      </c>
      <c r="E528" s="172">
        <f>IF(Daten!$P528+Daten!$Q528+Daten!$S528=3,1,0)</f>
        <v>0</v>
      </c>
      <c r="F528" s="173">
        <f ca="1">IF(AND(Limits!$Q$21=TRUE,Daten!O528=1)=TRUE,1,0)</f>
        <v>0</v>
      </c>
      <c r="G528" s="174">
        <f>IF(AND(Limits!$Q$25=TRUE,Daten!N528=1)=TRUE,1,0)</f>
        <v>0</v>
      </c>
      <c r="H528" s="174">
        <f>IF(AND(Limits!$Q$24=TRUE,Daten!M528=1)=TRUE,1,0)</f>
        <v>0</v>
      </c>
      <c r="I528" s="174">
        <f>IF(AND(Limits!$Q$23=TRUE,Daten!L528=1)=TRUE,1,0)</f>
        <v>0</v>
      </c>
      <c r="J528" s="174">
        <f>IF(AND(Limits!$Q$22=TRUE,Daten!K528=1)=TRUE,1,0)</f>
        <v>0</v>
      </c>
      <c r="K528" s="188">
        <f>IF(Daten!$V528=13,1,0)</f>
        <v>0</v>
      </c>
      <c r="L528" s="189">
        <f>IF(Daten!$V528&lt;&gt;Daten!$W528,1,IF(Daten!$V528=14,1,0))</f>
        <v>0</v>
      </c>
      <c r="M528" s="189">
        <f>IF(Daten!$V528&lt;&gt;Daten!$W528,1,IF(Daten!$V528=16,1,0))</f>
        <v>0</v>
      </c>
      <c r="N528" s="189">
        <f>IF(Daten!$W528=17,1,0)</f>
        <v>1</v>
      </c>
      <c r="O528" s="190">
        <f ca="1">IF(Daten!$X528=Sprache!$A$70,1,0)</f>
        <v>0</v>
      </c>
      <c r="P528" s="191">
        <f>IF(AND(Daten!$AQ528&lt;=KINVARO!$AW$3,Daten!$AR528&gt;=KINVARO!$AW$3)=TRUE,1,0)</f>
        <v>1</v>
      </c>
      <c r="Q528" s="192">
        <f>IF(AND(Daten!$AA528&lt;=KINVARO!$AW$4,Daten!$AB528&gt;=KINVARO!$AW$4)=TRUE,1,0)</f>
        <v>0</v>
      </c>
      <c r="R528" s="192"/>
      <c r="S528" s="192">
        <f>IF(AND(Daten!$AD528&lt;=Limits!$I$70,Daten!$AE528&gt;=Limits!$I$70)=TRUE,1,0)</f>
        <v>0</v>
      </c>
      <c r="T528" s="193">
        <f ca="1">IF(Daten!$Y528=Sprache!$A$135,1,0)</f>
        <v>0</v>
      </c>
      <c r="U528" s="124" t="str">
        <f ca="1">Sprache!$A$68</f>
        <v>T-65 Поворотный подъемник</v>
      </c>
      <c r="V528" s="194">
        <v>17</v>
      </c>
      <c r="W528" s="193">
        <v>17</v>
      </c>
      <c r="X528" s="187" t="str">
        <f ca="1">Sprache!$A$141</f>
        <v>Alu</v>
      </c>
      <c r="Y528" s="187" t="str">
        <f ca="1">Sprache!$A$136</f>
        <v>nein</v>
      </c>
      <c r="Z528" s="187" t="str">
        <f ca="1">Sprache!$A$79</f>
        <v>Створка</v>
      </c>
      <c r="AA528" s="187">
        <v>250</v>
      </c>
      <c r="AB528" s="124">
        <v>299</v>
      </c>
      <c r="AC528" s="187"/>
      <c r="AD528" s="195">
        <v>2.4</v>
      </c>
      <c r="AE528" s="196">
        <v>7.4</v>
      </c>
      <c r="AF528" s="263" t="str">
        <f>MID(Tabelle2[[#This Row],[bnr full]],1,4)</f>
        <v>F151</v>
      </c>
      <c r="AG528" s="264" t="str">
        <f>MID(Tabelle2[[#This Row],[bnr full]],5,3)</f>
        <v>147</v>
      </c>
      <c r="AH528" s="265" t="str">
        <f>MID(Tabelle2[[#This Row],[bnr full]],8,3)</f>
        <v>681</v>
      </c>
      <c r="AI528" s="264" t="str">
        <f>MID(Tabelle2[[#This Row],[bnr full]],11,3)</f>
        <v>201</v>
      </c>
      <c r="AJ528" s="252" t="str">
        <f>MID(Tabelle2[[#This Row],[bnr full]],11,3)</f>
        <v>201</v>
      </c>
      <c r="AK528" s="197" t="s">
        <v>808</v>
      </c>
      <c r="AL528" s="124" t="str">
        <f ca="1">Sprache!$A$111</f>
        <v>Комплект (Л + П)</v>
      </c>
      <c r="AM528" s="187" t="s">
        <v>25</v>
      </c>
      <c r="AN528" s="187" t="str">
        <f ca="1">Sprache!$A$131</f>
        <v>Пружина, черная, двусторонняя</v>
      </c>
      <c r="AO528" s="187" t="s">
        <v>25</v>
      </c>
      <c r="AP528" s="187" t="s">
        <v>25</v>
      </c>
      <c r="AQ528" s="187">
        <f>Limits!$K$9</f>
        <v>200</v>
      </c>
      <c r="AR528" s="124">
        <v>1200</v>
      </c>
      <c r="AS528" s="187"/>
      <c r="AT528" s="124"/>
      <c r="AV528"/>
      <c r="AX528" s="10"/>
      <c r="AY528" s="11"/>
      <c r="AZ528" s="2"/>
      <c r="BC528"/>
    </row>
    <row r="529" spans="1:55" hidden="1" x14ac:dyDescent="0.25">
      <c r="A529" s="12" t="str">
        <f ca="1">IF(F529+G529+H529+I529+J529+D529+E529=3,IF(Tabelle2[[#This Row],[Kappe Weiß]]=Limits!$R$29,1,""),"")</f>
        <v/>
      </c>
      <c r="B529" s="12" t="str">
        <f ca="1">IF(G529+H529+I529+J529+E529+F529=2,IF(Tabelle2[[#This Row],[Kappe Weiß]]=Limits!$R$29,1,""),"")</f>
        <v/>
      </c>
      <c r="C529" s="292">
        <v>0</v>
      </c>
      <c r="D529" s="171">
        <f>IF(Limits!$P$6=TRUE,1,0)</f>
        <v>0</v>
      </c>
      <c r="E529" s="172">
        <f>IF(Daten!$P529+Daten!$Q529+Daten!$S529=3,1,0)</f>
        <v>0</v>
      </c>
      <c r="F529" s="173">
        <f ca="1">IF(AND(Limits!$Q$21=TRUE,Daten!O529=1)=TRUE,1,0)</f>
        <v>1</v>
      </c>
      <c r="G529" s="174">
        <f ca="1">IF(AND(Limits!$Q$25=TRUE,Daten!N529=1)=TRUE,1,0)</f>
        <v>0</v>
      </c>
      <c r="H529" s="174">
        <f ca="1">IF(AND(Limits!$Q$24=TRUE,Daten!M529=1)=TRUE,1,0)</f>
        <v>0</v>
      </c>
      <c r="I529" s="174">
        <f ca="1">IF(AND(Limits!$Q$23=TRUE,Daten!L529=1)=TRUE,1,0)</f>
        <v>0</v>
      </c>
      <c r="J529" s="174">
        <f ca="1">IF(AND(Limits!$Q$22=TRUE,Daten!K529=1)=TRUE,1,0)</f>
        <v>0</v>
      </c>
      <c r="K529" s="188">
        <f ca="1">IF(Daten!$V529=13,1,0)</f>
        <v>0</v>
      </c>
      <c r="L529" s="189">
        <f ca="1">IF(Daten!$V529&lt;&gt;Daten!$W529,1,IF(Daten!$V529=14,1,0))</f>
        <v>0</v>
      </c>
      <c r="M529" s="189">
        <f ca="1">IF(Daten!$V529&lt;&gt;Daten!$W529,1,IF(Daten!$V529=16,1,0))</f>
        <v>0</v>
      </c>
      <c r="N529" s="189">
        <f ca="1">IF(Daten!$W529=17,1,0)</f>
        <v>0</v>
      </c>
      <c r="O529" s="190">
        <f ca="1">IF(Daten!$X529=Sprache!$A$70,1,0)</f>
        <v>1</v>
      </c>
      <c r="P529" s="198">
        <f>IF(AND(Daten!$AQ529&lt;=KINVARO!$AW$3,Daten!$AR529&gt;=KINVARO!$AW$3)=TRUE,1,0)</f>
        <v>1</v>
      </c>
      <c r="Q529" s="199">
        <f>IF(AND(Daten!$AA529&lt;=KINVARO!$AW$4,Daten!$AB529&gt;=KINVARO!$AW$4)=TRUE,1,0)</f>
        <v>0</v>
      </c>
      <c r="R529" s="199"/>
      <c r="S529" s="199">
        <f>IF(AND(Daten!$AD529&lt;=Limits!$I$70,Daten!$AE529&gt;=Limits!$I$70)=TRUE,1,0)</f>
        <v>0</v>
      </c>
      <c r="T529" s="200">
        <f ca="1">IF(Daten!$Y529=Sprache!$A$135,1,0)</f>
        <v>0</v>
      </c>
      <c r="U529" s="201" t="str">
        <f ca="1">Sprache!$A$68</f>
        <v>T-65 Поворотный подъемник</v>
      </c>
      <c r="V529" s="202" t="str">
        <f ca="1">Sprache!$A$74</f>
        <v>var</v>
      </c>
      <c r="W529" s="200" t="str">
        <f ca="1">Sprache!$A$74</f>
        <v>var</v>
      </c>
      <c r="X529" s="203" t="str">
        <f ca="1">Sprache!$A$70</f>
        <v>соединение с древесиной</v>
      </c>
      <c r="Y529" s="187" t="str">
        <f ca="1">Sprache!$A$136</f>
        <v>nein</v>
      </c>
      <c r="Z529" s="203" t="str">
        <f ca="1">Sprache!$A$79</f>
        <v>Створка</v>
      </c>
      <c r="AA529" s="203">
        <v>300</v>
      </c>
      <c r="AB529" s="201">
        <v>349</v>
      </c>
      <c r="AC529" s="203"/>
      <c r="AD529" s="204">
        <v>0.7</v>
      </c>
      <c r="AE529" s="205">
        <v>1.7</v>
      </c>
      <c r="AF529" s="266" t="str">
        <f>MID(Tabelle2[[#This Row],[bnr full]],1,4)</f>
        <v>F151</v>
      </c>
      <c r="AG529" s="267" t="str">
        <f>MID(Tabelle2[[#This Row],[bnr full]],5,3)</f>
        <v>147</v>
      </c>
      <c r="AH529" s="268" t="str">
        <f>MID(Tabelle2[[#This Row],[bnr full]],8,3)</f>
        <v>682</v>
      </c>
      <c r="AI529" s="267" t="str">
        <f>MID(Tabelle2[[#This Row],[bnr full]],11,3)</f>
        <v>201</v>
      </c>
      <c r="AJ529" s="253" t="str">
        <f>MID(Tabelle2[[#This Row],[bnr full]],11,3)</f>
        <v>201</v>
      </c>
      <c r="AK529" s="206" t="s">
        <v>804</v>
      </c>
      <c r="AL529" s="201" t="str">
        <f ca="1">Sprache!$A$111</f>
        <v>Комплект (Л + П)</v>
      </c>
      <c r="AM529" s="203" t="s">
        <v>25</v>
      </c>
      <c r="AN529" s="203" t="str">
        <f ca="1">Sprache!$A$129</f>
        <v>Пружина, желтая, односторонняя</v>
      </c>
      <c r="AO529" s="187" t="s">
        <v>25</v>
      </c>
      <c r="AP529" s="187" t="s">
        <v>25</v>
      </c>
      <c r="AQ529" s="203">
        <f>Limits!$K$9</f>
        <v>200</v>
      </c>
      <c r="AR529" s="201">
        <v>1200</v>
      </c>
      <c r="AS529" s="187"/>
      <c r="AT529" s="124"/>
      <c r="AV529"/>
      <c r="AX529" s="10"/>
      <c r="AY529" s="11"/>
      <c r="AZ529" s="2"/>
      <c r="BC529"/>
    </row>
    <row r="530" spans="1:55" hidden="1" x14ac:dyDescent="0.25">
      <c r="A530" s="12" t="str">
        <f ca="1">IF(F530+G530+H530+I530+J530+D530+E530=3,IF(Tabelle2[[#This Row],[Kappe Weiß]]=Limits!$R$29,1,""),"")</f>
        <v/>
      </c>
      <c r="B530" s="12" t="str">
        <f ca="1">IF(G530+H530+I530+J530+E530+F530=2,IF(Tabelle2[[#This Row],[Kappe Weiß]]=Limits!$R$29,1,""),"")</f>
        <v/>
      </c>
      <c r="C530" s="291">
        <v>0</v>
      </c>
      <c r="D530" s="171">
        <f>IF(Limits!$P$6=TRUE,1,0)</f>
        <v>0</v>
      </c>
      <c r="E530" s="172">
        <f>IF(Daten!$P530+Daten!$Q530+Daten!$S530=3,1,0)</f>
        <v>0</v>
      </c>
      <c r="F530" s="173">
        <f ca="1">IF(AND(Limits!$Q$21=TRUE,Daten!O530=1)=TRUE,1,0)</f>
        <v>1</v>
      </c>
      <c r="G530" s="174">
        <f ca="1">IF(AND(Limits!$Q$25=TRUE,Daten!N530=1)=TRUE,1,0)</f>
        <v>0</v>
      </c>
      <c r="H530" s="174">
        <f ca="1">IF(AND(Limits!$Q$24=TRUE,Daten!M530=1)=TRUE,1,0)</f>
        <v>0</v>
      </c>
      <c r="I530" s="174">
        <f ca="1">IF(AND(Limits!$Q$23=TRUE,Daten!L530=1)=TRUE,1,0)</f>
        <v>0</v>
      </c>
      <c r="J530" s="174">
        <f ca="1">IF(AND(Limits!$Q$22=TRUE,Daten!K530=1)=TRUE,1,0)</f>
        <v>0</v>
      </c>
      <c r="K530" s="188">
        <f ca="1">IF(Daten!$V530=13,1,0)</f>
        <v>0</v>
      </c>
      <c r="L530" s="189">
        <f ca="1">IF(Daten!$V530&lt;&gt;Daten!$W530,1,IF(Daten!$V530=14,1,0))</f>
        <v>0</v>
      </c>
      <c r="M530" s="189">
        <f ca="1">IF(Daten!$V530&lt;&gt;Daten!$W530,1,IF(Daten!$V530=16,1,0))</f>
        <v>0</v>
      </c>
      <c r="N530" s="189">
        <f ca="1">IF(Daten!$W530=17,1,0)</f>
        <v>0</v>
      </c>
      <c r="O530" s="190">
        <f ca="1">IF(Daten!$X530=Sprache!$A$70,1,0)</f>
        <v>1</v>
      </c>
      <c r="P530" s="191">
        <f>IF(AND(Daten!$AQ530&lt;=KINVARO!$AW$3,Daten!$AR530&gt;=KINVARO!$AW$3)=TRUE,1,0)</f>
        <v>1</v>
      </c>
      <c r="Q530" s="192">
        <f>IF(AND(Daten!$AA530&lt;=KINVARO!$AW$4,Daten!$AB530&gt;=KINVARO!$AW$4)=TRUE,1,0)</f>
        <v>0</v>
      </c>
      <c r="R530" s="192"/>
      <c r="S530" s="192">
        <f>IF(AND(Daten!$AD530&lt;=Limits!$I$70,Daten!$AE530&gt;=Limits!$I$70)=TRUE,1,0)</f>
        <v>0</v>
      </c>
      <c r="T530" s="193">
        <f ca="1">IF(Daten!$Y530=Sprache!$A$135,1,0)</f>
        <v>0</v>
      </c>
      <c r="U530" s="124" t="str">
        <f ca="1">Sprache!$A$68</f>
        <v>T-65 Поворотный подъемник</v>
      </c>
      <c r="V530" s="194" t="str">
        <f ca="1">Sprache!$A$74</f>
        <v>var</v>
      </c>
      <c r="W530" s="193" t="str">
        <f ca="1">Sprache!$A$74</f>
        <v>var</v>
      </c>
      <c r="X530" s="187" t="str">
        <f ca="1">Sprache!$A$70</f>
        <v>соединение с древесиной</v>
      </c>
      <c r="Y530" s="187" t="str">
        <f ca="1">Sprache!$A$136</f>
        <v>nein</v>
      </c>
      <c r="Z530" s="187" t="str">
        <f ca="1">Sprache!$A$79</f>
        <v>Створка</v>
      </c>
      <c r="AA530" s="187">
        <v>300</v>
      </c>
      <c r="AB530" s="124">
        <v>349</v>
      </c>
      <c r="AC530" s="187"/>
      <c r="AD530" s="195">
        <v>1.4</v>
      </c>
      <c r="AE530" s="196">
        <v>3.4</v>
      </c>
      <c r="AF530" s="263" t="str">
        <f>MID(Tabelle2[[#This Row],[bnr full]],1,4)</f>
        <v>F151</v>
      </c>
      <c r="AG530" s="264" t="str">
        <f>MID(Tabelle2[[#This Row],[bnr full]],5,3)</f>
        <v>147</v>
      </c>
      <c r="AH530" s="265" t="str">
        <f>MID(Tabelle2[[#This Row],[bnr full]],8,3)</f>
        <v>682</v>
      </c>
      <c r="AI530" s="264" t="str">
        <f>MID(Tabelle2[[#This Row],[bnr full]],11,3)</f>
        <v>201</v>
      </c>
      <c r="AJ530" s="252" t="str">
        <f>MID(Tabelle2[[#This Row],[bnr full]],11,3)</f>
        <v>201</v>
      </c>
      <c r="AK530" s="197" t="s">
        <v>804</v>
      </c>
      <c r="AL530" s="124" t="str">
        <f ca="1">Sprache!$A$111</f>
        <v>Комплект (Л + П)</v>
      </c>
      <c r="AM530" s="187" t="s">
        <v>25</v>
      </c>
      <c r="AN530" s="187" t="str">
        <f ca="1">Sprache!$A$130</f>
        <v>Пружина, желтая, двусторонняя</v>
      </c>
      <c r="AO530" s="187" t="s">
        <v>25</v>
      </c>
      <c r="AP530" s="187" t="s">
        <v>25</v>
      </c>
      <c r="AQ530" s="187">
        <f>Limits!$K$9</f>
        <v>200</v>
      </c>
      <c r="AR530" s="124">
        <v>1200</v>
      </c>
      <c r="AS530" s="187"/>
      <c r="AT530" s="124"/>
      <c r="AV530"/>
      <c r="AX530" s="10"/>
      <c r="AY530" s="11"/>
      <c r="AZ530" s="2"/>
      <c r="BC530"/>
    </row>
    <row r="531" spans="1:55" hidden="1" x14ac:dyDescent="0.25">
      <c r="A531" s="12" t="str">
        <f ca="1">IF(F531+G531+H531+I531+J531+D531+E531=3,IF(Tabelle2[[#This Row],[Kappe Weiß]]=Limits!$R$29,1,""),"")</f>
        <v/>
      </c>
      <c r="B531" s="12" t="str">
        <f ca="1">IF(G531+H531+I531+J531+E531+F531=2,IF(Tabelle2[[#This Row],[Kappe Weiß]]=Limits!$R$29,1,""),"")</f>
        <v/>
      </c>
      <c r="C531" s="291">
        <v>0</v>
      </c>
      <c r="D531" s="171">
        <f>IF(Limits!$P$6=TRUE,1,0)</f>
        <v>0</v>
      </c>
      <c r="E531" s="172">
        <f>IF(Daten!$P531+Daten!$Q531+Daten!$S531=3,1,0)</f>
        <v>0</v>
      </c>
      <c r="F531" s="173">
        <f ca="1">IF(AND(Limits!$Q$21=TRUE,Daten!O531=1)=TRUE,1,0)</f>
        <v>1</v>
      </c>
      <c r="G531" s="174">
        <f ca="1">IF(AND(Limits!$Q$25=TRUE,Daten!N531=1)=TRUE,1,0)</f>
        <v>0</v>
      </c>
      <c r="H531" s="174">
        <f ca="1">IF(AND(Limits!$Q$24=TRUE,Daten!M531=1)=TRUE,1,0)</f>
        <v>0</v>
      </c>
      <c r="I531" s="174">
        <f ca="1">IF(AND(Limits!$Q$23=TRUE,Daten!L531=1)=TRUE,1,0)</f>
        <v>0</v>
      </c>
      <c r="J531" s="174">
        <f ca="1">IF(AND(Limits!$Q$22=TRUE,Daten!K531=1)=TRUE,1,0)</f>
        <v>0</v>
      </c>
      <c r="K531" s="188">
        <f ca="1">IF(Daten!$V531=13,1,0)</f>
        <v>0</v>
      </c>
      <c r="L531" s="189">
        <f ca="1">IF(Daten!$V531&lt;&gt;Daten!$W531,1,IF(Daten!$V531=14,1,0))</f>
        <v>0</v>
      </c>
      <c r="M531" s="189">
        <f ca="1">IF(Daten!$V531&lt;&gt;Daten!$W531,1,IF(Daten!$V531=16,1,0))</f>
        <v>0</v>
      </c>
      <c r="N531" s="189">
        <f ca="1">IF(Daten!$W531=17,1,0)</f>
        <v>0</v>
      </c>
      <c r="O531" s="190">
        <f ca="1">IF(Daten!$X531=Sprache!$A$70,1,0)</f>
        <v>1</v>
      </c>
      <c r="P531" s="191">
        <f>IF(AND(Daten!$AQ531&lt;=KINVARO!$AW$3,Daten!$AR531&gt;=KINVARO!$AW$3)=TRUE,1,0)</f>
        <v>1</v>
      </c>
      <c r="Q531" s="192">
        <f>IF(AND(Daten!$AA531&lt;=KINVARO!$AW$4,Daten!$AB531&gt;=KINVARO!$AW$4)=TRUE,1,0)</f>
        <v>0</v>
      </c>
      <c r="R531" s="192"/>
      <c r="S531" s="192">
        <f>IF(AND(Daten!$AD531&lt;=Limits!$I$70,Daten!$AE531&gt;=Limits!$I$70)=TRUE,1,0)</f>
        <v>0</v>
      </c>
      <c r="T531" s="193">
        <f ca="1">IF(Daten!$Y531=Sprache!$A$135,1,0)</f>
        <v>0</v>
      </c>
      <c r="U531" s="124" t="str">
        <f ca="1">Sprache!$A$68</f>
        <v>T-65 Поворотный подъемник</v>
      </c>
      <c r="V531" s="194" t="str">
        <f ca="1">Sprache!$A$74</f>
        <v>var</v>
      </c>
      <c r="W531" s="193" t="str">
        <f ca="1">Sprache!$A$74</f>
        <v>var</v>
      </c>
      <c r="X531" s="187" t="str">
        <f ca="1">Sprache!$A$70</f>
        <v>соединение с древесиной</v>
      </c>
      <c r="Y531" s="187" t="str">
        <f ca="1">Sprache!$A$136</f>
        <v>nein</v>
      </c>
      <c r="Z531" s="187" t="str">
        <f ca="1">Sprache!$A$79</f>
        <v>Створка</v>
      </c>
      <c r="AA531" s="187">
        <v>300</v>
      </c>
      <c r="AB531" s="124">
        <v>349</v>
      </c>
      <c r="AC531" s="187"/>
      <c r="AD531" s="195">
        <v>2</v>
      </c>
      <c r="AE531" s="196">
        <v>6.3</v>
      </c>
      <c r="AF531" s="263" t="str">
        <f>MID(Tabelle2[[#This Row],[bnr full]],1,4)</f>
        <v>F151</v>
      </c>
      <c r="AG531" s="264" t="str">
        <f>MID(Tabelle2[[#This Row],[bnr full]],5,3)</f>
        <v>147</v>
      </c>
      <c r="AH531" s="265" t="str">
        <f>MID(Tabelle2[[#This Row],[bnr full]],8,3)</f>
        <v>682</v>
      </c>
      <c r="AI531" s="264" t="str">
        <f>MID(Tabelle2[[#This Row],[bnr full]],11,3)</f>
        <v>201</v>
      </c>
      <c r="AJ531" s="252" t="str">
        <f>MID(Tabelle2[[#This Row],[bnr full]],11,3)</f>
        <v>201</v>
      </c>
      <c r="AK531" s="197" t="s">
        <v>804</v>
      </c>
      <c r="AL531" s="124" t="str">
        <f ca="1">Sprache!$A$111</f>
        <v>Комплект (Л + П)</v>
      </c>
      <c r="AM531" s="187" t="s">
        <v>25</v>
      </c>
      <c r="AN531" s="187" t="str">
        <f ca="1">Sprache!$A$131</f>
        <v>Пружина, черная, двусторонняя</v>
      </c>
      <c r="AO531" s="187" t="s">
        <v>25</v>
      </c>
      <c r="AP531" s="187" t="s">
        <v>25</v>
      </c>
      <c r="AQ531" s="187">
        <f>Limits!$K$9</f>
        <v>200</v>
      </c>
      <c r="AR531" s="124">
        <v>1200</v>
      </c>
      <c r="AS531" s="187"/>
      <c r="AT531" s="124"/>
      <c r="AV531"/>
      <c r="AX531" s="10"/>
      <c r="AY531" s="11"/>
      <c r="AZ531" s="2"/>
      <c r="BC531"/>
    </row>
    <row r="532" spans="1:55" hidden="1" x14ac:dyDescent="0.25">
      <c r="A532" s="12" t="str">
        <f ca="1">IF(F532+G532+H532+I532+J532+D532+E532=3,IF(Tabelle2[[#This Row],[Kappe Weiß]]=Limits!$R$29,1,""),"")</f>
        <v/>
      </c>
      <c r="B532" s="12" t="str">
        <f ca="1">IF(G532+H532+I532+J532+E532+F532=2,IF(Tabelle2[[#This Row],[Kappe Weiß]]=Limits!$R$29,1,""),"")</f>
        <v/>
      </c>
      <c r="C532" s="291">
        <v>0</v>
      </c>
      <c r="D532" s="171">
        <f>IF(Limits!$P$6=TRUE,1,0)</f>
        <v>0</v>
      </c>
      <c r="E532" s="172">
        <f>IF(Daten!$P532+Daten!$Q532+Daten!$S532=3,1,0)</f>
        <v>0</v>
      </c>
      <c r="F532" s="173">
        <f ca="1">IF(AND(Limits!$Q$21=TRUE,Daten!O532=1)=TRUE,1,0)</f>
        <v>0</v>
      </c>
      <c r="G532" s="174">
        <f>IF(AND(Limits!$Q$25=TRUE,Daten!N532=1)=TRUE,1,0)</f>
        <v>0</v>
      </c>
      <c r="H532" s="174">
        <f>IF(AND(Limits!$Q$24=TRUE,Daten!M532=1)=TRUE,1,0)</f>
        <v>0</v>
      </c>
      <c r="I532" s="174">
        <f>IF(AND(Limits!$Q$23=TRUE,Daten!L532=1)=TRUE,1,0)</f>
        <v>0</v>
      </c>
      <c r="J532" s="174">
        <f>IF(AND(Limits!$Q$22=TRUE,Daten!K532=1)=TRUE,1,0)</f>
        <v>0</v>
      </c>
      <c r="K532" s="188">
        <f>IF(Daten!$V532=13,1,0)</f>
        <v>1</v>
      </c>
      <c r="L532" s="189">
        <f>IF(Daten!$V532&lt;&gt;Daten!$W532,1,IF(Daten!$V532=14,1,0))</f>
        <v>0</v>
      </c>
      <c r="M532" s="189">
        <f>IF(Daten!$V532&lt;&gt;Daten!$W532,1,IF(Daten!$V532=16,1,0))</f>
        <v>0</v>
      </c>
      <c r="N532" s="189">
        <f>IF(Daten!$W532=17,1,0)</f>
        <v>0</v>
      </c>
      <c r="O532" s="190">
        <f ca="1">IF(Daten!$X532=Sprache!$A$70,1,0)</f>
        <v>0</v>
      </c>
      <c r="P532" s="191">
        <f>IF(AND(Daten!$AQ532&lt;=KINVARO!$AW$3,Daten!$AR532&gt;=KINVARO!$AW$3)=TRUE,1,0)</f>
        <v>1</v>
      </c>
      <c r="Q532" s="192">
        <f>IF(AND(Daten!$AA532&lt;=KINVARO!$AW$4,Daten!$AB532&gt;=KINVARO!$AW$4)=TRUE,1,0)</f>
        <v>0</v>
      </c>
      <c r="R532" s="192"/>
      <c r="S532" s="192">
        <f>IF(AND(Daten!$AD532&lt;=Limits!$I$70,Daten!$AE532&gt;=Limits!$I$70)=TRUE,1,0)</f>
        <v>0</v>
      </c>
      <c r="T532" s="193">
        <f ca="1">IF(Daten!$Y532=Sprache!$A$135,1,0)</f>
        <v>0</v>
      </c>
      <c r="U532" s="124" t="str">
        <f ca="1">Sprache!$A$68</f>
        <v>T-65 Поворотный подъемник</v>
      </c>
      <c r="V532" s="194">
        <v>13</v>
      </c>
      <c r="W532" s="193">
        <v>13</v>
      </c>
      <c r="X532" s="187" t="str">
        <f ca="1">Sprache!$A$141</f>
        <v>Alu</v>
      </c>
      <c r="Y532" s="187" t="str">
        <f ca="1">Sprache!$A$136</f>
        <v>nein</v>
      </c>
      <c r="Z532" s="187" t="str">
        <f ca="1">Sprache!$A$79</f>
        <v>Створка</v>
      </c>
      <c r="AA532" s="187">
        <v>300</v>
      </c>
      <c r="AB532" s="124">
        <v>349</v>
      </c>
      <c r="AC532" s="187"/>
      <c r="AD532" s="195">
        <v>0.7</v>
      </c>
      <c r="AE532" s="196">
        <v>1.7</v>
      </c>
      <c r="AF532" s="263" t="str">
        <f>MID(Tabelle2[[#This Row],[bnr full]],1,4)</f>
        <v>F151</v>
      </c>
      <c r="AG532" s="264" t="str">
        <f>MID(Tabelle2[[#This Row],[bnr full]],5,3)</f>
        <v>147</v>
      </c>
      <c r="AH532" s="265" t="str">
        <f>MID(Tabelle2[[#This Row],[bnr full]],8,3)</f>
        <v>678</v>
      </c>
      <c r="AI532" s="264" t="str">
        <f>MID(Tabelle2[[#This Row],[bnr full]],11,3)</f>
        <v>201</v>
      </c>
      <c r="AJ532" s="252" t="str">
        <f>MID(Tabelle2[[#This Row],[bnr full]],11,3)</f>
        <v>201</v>
      </c>
      <c r="AK532" s="197" t="s">
        <v>805</v>
      </c>
      <c r="AL532" s="124" t="str">
        <f ca="1">Sprache!$A$111</f>
        <v>Комплект (Л + П)</v>
      </c>
      <c r="AM532" s="187" t="s">
        <v>25</v>
      </c>
      <c r="AN532" s="187" t="str">
        <f ca="1">Sprache!$A$129</f>
        <v>Пружина, желтая, односторонняя</v>
      </c>
      <c r="AO532" s="187" t="s">
        <v>25</v>
      </c>
      <c r="AP532" s="187" t="s">
        <v>25</v>
      </c>
      <c r="AQ532" s="187">
        <f>Limits!$K$9</f>
        <v>200</v>
      </c>
      <c r="AR532" s="124">
        <v>1200</v>
      </c>
      <c r="AS532" s="187"/>
      <c r="AT532" s="124"/>
      <c r="AV532"/>
      <c r="AX532" s="10"/>
      <c r="AY532" s="11"/>
      <c r="AZ532" s="2"/>
      <c r="BC532"/>
    </row>
    <row r="533" spans="1:55" hidden="1" x14ac:dyDescent="0.25">
      <c r="A533" s="12" t="str">
        <f ca="1">IF(F533+G533+H533+I533+J533+D533+E533=3,IF(Tabelle2[[#This Row],[Kappe Weiß]]=Limits!$R$29,1,""),"")</f>
        <v/>
      </c>
      <c r="B533" s="12" t="str">
        <f ca="1">IF(G533+H533+I533+J533+E533+F533=2,IF(Tabelle2[[#This Row],[Kappe Weiß]]=Limits!$R$29,1,""),"")</f>
        <v/>
      </c>
      <c r="C533" s="291">
        <v>0</v>
      </c>
      <c r="D533" s="171">
        <f>IF(Limits!$P$6=TRUE,1,0)</f>
        <v>0</v>
      </c>
      <c r="E533" s="172">
        <f>IF(Daten!$P533+Daten!$Q533+Daten!$S533=3,1,0)</f>
        <v>0</v>
      </c>
      <c r="F533" s="173">
        <f ca="1">IF(AND(Limits!$Q$21=TRUE,Daten!O533=1)=TRUE,1,0)</f>
        <v>0</v>
      </c>
      <c r="G533" s="174">
        <f>IF(AND(Limits!$Q$25=TRUE,Daten!N533=1)=TRUE,1,0)</f>
        <v>0</v>
      </c>
      <c r="H533" s="174">
        <f>IF(AND(Limits!$Q$24=TRUE,Daten!M533=1)=TRUE,1,0)</f>
        <v>0</v>
      </c>
      <c r="I533" s="174">
        <f>IF(AND(Limits!$Q$23=TRUE,Daten!L533=1)=TRUE,1,0)</f>
        <v>0</v>
      </c>
      <c r="J533" s="174">
        <f>IF(AND(Limits!$Q$22=TRUE,Daten!K533=1)=TRUE,1,0)</f>
        <v>0</v>
      </c>
      <c r="K533" s="188">
        <f>IF(Daten!$V533=13,1,0)</f>
        <v>1</v>
      </c>
      <c r="L533" s="189">
        <f>IF(Daten!$V533&lt;&gt;Daten!$W533,1,IF(Daten!$V533=14,1,0))</f>
        <v>0</v>
      </c>
      <c r="M533" s="189">
        <f>IF(Daten!$V533&lt;&gt;Daten!$W533,1,IF(Daten!$V533=16,1,0))</f>
        <v>0</v>
      </c>
      <c r="N533" s="189">
        <f>IF(Daten!$W533=17,1,0)</f>
        <v>0</v>
      </c>
      <c r="O533" s="190">
        <f ca="1">IF(Daten!$X533=Sprache!$A$70,1,0)</f>
        <v>0</v>
      </c>
      <c r="P533" s="191">
        <f>IF(AND(Daten!$AQ533&lt;=KINVARO!$AW$3,Daten!$AR533&gt;=KINVARO!$AW$3)=TRUE,1,0)</f>
        <v>1</v>
      </c>
      <c r="Q533" s="192">
        <f>IF(AND(Daten!$AA533&lt;=KINVARO!$AW$4,Daten!$AB533&gt;=KINVARO!$AW$4)=TRUE,1,0)</f>
        <v>0</v>
      </c>
      <c r="R533" s="192"/>
      <c r="S533" s="192">
        <f>IF(AND(Daten!$AD533&lt;=Limits!$I$70,Daten!$AE533&gt;=Limits!$I$70)=TRUE,1,0)</f>
        <v>0</v>
      </c>
      <c r="T533" s="193">
        <f ca="1">IF(Daten!$Y533=Sprache!$A$135,1,0)</f>
        <v>0</v>
      </c>
      <c r="U533" s="124" t="str">
        <f ca="1">Sprache!$A$68</f>
        <v>T-65 Поворотный подъемник</v>
      </c>
      <c r="V533" s="194">
        <v>13</v>
      </c>
      <c r="W533" s="193">
        <v>13</v>
      </c>
      <c r="X533" s="187" t="str">
        <f ca="1">Sprache!$A$141</f>
        <v>Alu</v>
      </c>
      <c r="Y533" s="187" t="str">
        <f ca="1">Sprache!$A$136</f>
        <v>nein</v>
      </c>
      <c r="Z533" s="187" t="str">
        <f ca="1">Sprache!$A$79</f>
        <v>Створка</v>
      </c>
      <c r="AA533" s="187">
        <v>300</v>
      </c>
      <c r="AB533" s="124">
        <v>349</v>
      </c>
      <c r="AC533" s="187"/>
      <c r="AD533" s="195">
        <v>1.4</v>
      </c>
      <c r="AE533" s="196">
        <v>3.4</v>
      </c>
      <c r="AF533" s="263" t="str">
        <f>MID(Tabelle2[[#This Row],[bnr full]],1,4)</f>
        <v>F151</v>
      </c>
      <c r="AG533" s="264" t="str">
        <f>MID(Tabelle2[[#This Row],[bnr full]],5,3)</f>
        <v>147</v>
      </c>
      <c r="AH533" s="265" t="str">
        <f>MID(Tabelle2[[#This Row],[bnr full]],8,3)</f>
        <v>678</v>
      </c>
      <c r="AI533" s="264" t="str">
        <f>MID(Tabelle2[[#This Row],[bnr full]],11,3)</f>
        <v>201</v>
      </c>
      <c r="AJ533" s="252" t="str">
        <f>MID(Tabelle2[[#This Row],[bnr full]],11,3)</f>
        <v>201</v>
      </c>
      <c r="AK533" s="197" t="s">
        <v>805</v>
      </c>
      <c r="AL533" s="124" t="str">
        <f ca="1">Sprache!$A$111</f>
        <v>Комплект (Л + П)</v>
      </c>
      <c r="AM533" s="187" t="s">
        <v>25</v>
      </c>
      <c r="AN533" s="187" t="str">
        <f ca="1">Sprache!$A$130</f>
        <v>Пружина, желтая, двусторонняя</v>
      </c>
      <c r="AO533" s="187" t="s">
        <v>25</v>
      </c>
      <c r="AP533" s="187" t="s">
        <v>25</v>
      </c>
      <c r="AQ533" s="187">
        <f>Limits!$K$9</f>
        <v>200</v>
      </c>
      <c r="AR533" s="124">
        <v>1200</v>
      </c>
      <c r="AS533" s="187"/>
      <c r="AT533" s="124"/>
      <c r="AV533"/>
      <c r="AX533" s="10"/>
      <c r="AY533" s="11"/>
      <c r="AZ533" s="2"/>
      <c r="BC533"/>
    </row>
    <row r="534" spans="1:55" hidden="1" x14ac:dyDescent="0.25">
      <c r="A534" s="12" t="str">
        <f ca="1">IF(F534+G534+H534+I534+J534+D534+E534=3,IF(Tabelle2[[#This Row],[Kappe Weiß]]=Limits!$R$29,1,""),"")</f>
        <v/>
      </c>
      <c r="B534" s="12" t="str">
        <f ca="1">IF(G534+H534+I534+J534+E534+F534=2,IF(Tabelle2[[#This Row],[Kappe Weiß]]=Limits!$R$29,1,""),"")</f>
        <v/>
      </c>
      <c r="C534" s="291">
        <v>0</v>
      </c>
      <c r="D534" s="171">
        <f>IF(Limits!$P$6=TRUE,1,0)</f>
        <v>0</v>
      </c>
      <c r="E534" s="172">
        <f>IF(Daten!$P534+Daten!$Q534+Daten!$S534=3,1,0)</f>
        <v>0</v>
      </c>
      <c r="F534" s="173">
        <f ca="1">IF(AND(Limits!$Q$21=TRUE,Daten!O534=1)=TRUE,1,0)</f>
        <v>0</v>
      </c>
      <c r="G534" s="174">
        <f>IF(AND(Limits!$Q$25=TRUE,Daten!N534=1)=TRUE,1,0)</f>
        <v>0</v>
      </c>
      <c r="H534" s="174">
        <f>IF(AND(Limits!$Q$24=TRUE,Daten!M534=1)=TRUE,1,0)</f>
        <v>0</v>
      </c>
      <c r="I534" s="174">
        <f>IF(AND(Limits!$Q$23=TRUE,Daten!L534=1)=TRUE,1,0)</f>
        <v>0</v>
      </c>
      <c r="J534" s="174">
        <f>IF(AND(Limits!$Q$22=TRUE,Daten!K534=1)=TRUE,1,0)</f>
        <v>0</v>
      </c>
      <c r="K534" s="188">
        <f>IF(Daten!$V534=13,1,0)</f>
        <v>1</v>
      </c>
      <c r="L534" s="189">
        <f>IF(Daten!$V534&lt;&gt;Daten!$W534,1,IF(Daten!$V534=14,1,0))</f>
        <v>0</v>
      </c>
      <c r="M534" s="189">
        <f>IF(Daten!$V534&lt;&gt;Daten!$W534,1,IF(Daten!$V534=16,1,0))</f>
        <v>0</v>
      </c>
      <c r="N534" s="189">
        <f>IF(Daten!$W534=17,1,0)</f>
        <v>0</v>
      </c>
      <c r="O534" s="190">
        <f ca="1">IF(Daten!$X534=Sprache!$A$70,1,0)</f>
        <v>0</v>
      </c>
      <c r="P534" s="191">
        <f>IF(AND(Daten!$AQ534&lt;=KINVARO!$AW$3,Daten!$AR534&gt;=KINVARO!$AW$3)=TRUE,1,0)</f>
        <v>1</v>
      </c>
      <c r="Q534" s="192">
        <f>IF(AND(Daten!$AA534&lt;=KINVARO!$AW$4,Daten!$AB534&gt;=KINVARO!$AW$4)=TRUE,1,0)</f>
        <v>0</v>
      </c>
      <c r="R534" s="192"/>
      <c r="S534" s="192">
        <f>IF(AND(Daten!$AD534&lt;=Limits!$I$70,Daten!$AE534&gt;=Limits!$I$70)=TRUE,1,0)</f>
        <v>0</v>
      </c>
      <c r="T534" s="193">
        <f ca="1">IF(Daten!$Y534=Sprache!$A$135,1,0)</f>
        <v>0</v>
      </c>
      <c r="U534" s="124" t="str">
        <f ca="1">Sprache!$A$68</f>
        <v>T-65 Поворотный подъемник</v>
      </c>
      <c r="V534" s="194">
        <v>13</v>
      </c>
      <c r="W534" s="193">
        <v>13</v>
      </c>
      <c r="X534" s="187" t="str">
        <f ca="1">Sprache!$A$141</f>
        <v>Alu</v>
      </c>
      <c r="Y534" s="187" t="str">
        <f ca="1">Sprache!$A$136</f>
        <v>nein</v>
      </c>
      <c r="Z534" s="187" t="str">
        <f ca="1">Sprache!$A$79</f>
        <v>Створка</v>
      </c>
      <c r="AA534" s="187">
        <v>300</v>
      </c>
      <c r="AB534" s="124">
        <v>349</v>
      </c>
      <c r="AC534" s="187"/>
      <c r="AD534" s="195">
        <v>2</v>
      </c>
      <c r="AE534" s="196">
        <v>6.3</v>
      </c>
      <c r="AF534" s="263" t="str">
        <f>MID(Tabelle2[[#This Row],[bnr full]],1,4)</f>
        <v>F151</v>
      </c>
      <c r="AG534" s="264" t="str">
        <f>MID(Tabelle2[[#This Row],[bnr full]],5,3)</f>
        <v>147</v>
      </c>
      <c r="AH534" s="265" t="str">
        <f>MID(Tabelle2[[#This Row],[bnr full]],8,3)</f>
        <v>678</v>
      </c>
      <c r="AI534" s="264" t="str">
        <f>MID(Tabelle2[[#This Row],[bnr full]],11,3)</f>
        <v>201</v>
      </c>
      <c r="AJ534" s="252" t="str">
        <f>MID(Tabelle2[[#This Row],[bnr full]],11,3)</f>
        <v>201</v>
      </c>
      <c r="AK534" s="197" t="s">
        <v>805</v>
      </c>
      <c r="AL534" s="124" t="str">
        <f ca="1">Sprache!$A$111</f>
        <v>Комплект (Л + П)</v>
      </c>
      <c r="AM534" s="187" t="s">
        <v>25</v>
      </c>
      <c r="AN534" s="187" t="str">
        <f ca="1">Sprache!$A$131</f>
        <v>Пружина, черная, двусторонняя</v>
      </c>
      <c r="AO534" s="187" t="s">
        <v>25</v>
      </c>
      <c r="AP534" s="187" t="s">
        <v>25</v>
      </c>
      <c r="AQ534" s="187">
        <f>Limits!$K$9</f>
        <v>200</v>
      </c>
      <c r="AR534" s="124">
        <v>1200</v>
      </c>
      <c r="AS534" s="187"/>
      <c r="AT534" s="124"/>
      <c r="AV534"/>
      <c r="AX534" s="10"/>
      <c r="AY534" s="11"/>
      <c r="AZ534" s="2"/>
      <c r="BC534"/>
    </row>
    <row r="535" spans="1:55" hidden="1" x14ac:dyDescent="0.25">
      <c r="A535" s="12" t="str">
        <f ca="1">IF(F535+G535+H535+I535+J535+D535+E535=3,IF(Tabelle2[[#This Row],[Kappe Weiß]]=Limits!$R$29,1,""),"")</f>
        <v/>
      </c>
      <c r="B535" s="12" t="str">
        <f ca="1">IF(G535+H535+I535+J535+E535+F535=2,IF(Tabelle2[[#This Row],[Kappe Weiß]]=Limits!$R$29,1,""),"")</f>
        <v/>
      </c>
      <c r="C535" s="291">
        <v>0</v>
      </c>
      <c r="D535" s="171">
        <f>IF(Limits!$P$6=TRUE,1,0)</f>
        <v>0</v>
      </c>
      <c r="E535" s="172">
        <f>IF(Daten!$P535+Daten!$Q535+Daten!$S535=3,1,0)</f>
        <v>0</v>
      </c>
      <c r="F535" s="173">
        <f ca="1">IF(AND(Limits!$Q$21=TRUE,Daten!O535=1)=TRUE,1,0)</f>
        <v>0</v>
      </c>
      <c r="G535" s="174">
        <f>IF(AND(Limits!$Q$25=TRUE,Daten!N535=1)=TRUE,1,0)</f>
        <v>0</v>
      </c>
      <c r="H535" s="174">
        <f>IF(AND(Limits!$Q$24=TRUE,Daten!M535=1)=TRUE,1,0)</f>
        <v>0</v>
      </c>
      <c r="I535" s="174">
        <f>IF(AND(Limits!$Q$23=TRUE,Daten!L535=1)=TRUE,1,0)</f>
        <v>0</v>
      </c>
      <c r="J535" s="174">
        <f>IF(AND(Limits!$Q$22=TRUE,Daten!K535=1)=TRUE,1,0)</f>
        <v>0</v>
      </c>
      <c r="K535" s="188">
        <f>IF(Daten!$V535=13,1,0)</f>
        <v>0</v>
      </c>
      <c r="L535" s="189">
        <f>IF(Daten!$V535&lt;&gt;Daten!$W535,1,IF(Daten!$V535=14,1,0))</f>
        <v>1</v>
      </c>
      <c r="M535" s="189">
        <f>IF(Daten!$V535&lt;&gt;Daten!$W535,1,IF(Daten!$V535=16,1,0))</f>
        <v>0</v>
      </c>
      <c r="N535" s="189">
        <f>IF(Daten!$W535=17,1,0)</f>
        <v>0</v>
      </c>
      <c r="O535" s="190">
        <f ca="1">IF(Daten!$X535=Sprache!$A$70,1,0)</f>
        <v>0</v>
      </c>
      <c r="P535" s="191">
        <f>IF(AND(Daten!$AQ535&lt;=KINVARO!$AW$3,Daten!$AR535&gt;=KINVARO!$AW$3)=TRUE,1,0)</f>
        <v>1</v>
      </c>
      <c r="Q535" s="192">
        <f>IF(AND(Daten!$AA535&lt;=KINVARO!$AW$4,Daten!$AB535&gt;=KINVARO!$AW$4)=TRUE,1,0)</f>
        <v>0</v>
      </c>
      <c r="R535" s="192"/>
      <c r="S535" s="192">
        <f>IF(AND(Daten!$AD535&lt;=Limits!$I$70,Daten!$AE535&gt;=Limits!$I$70)=TRUE,1,0)</f>
        <v>0</v>
      </c>
      <c r="T535" s="193">
        <f ca="1">IF(Daten!$Y535=Sprache!$A$135,1,0)</f>
        <v>0</v>
      </c>
      <c r="U535" s="124" t="str">
        <f ca="1">Sprache!$A$68</f>
        <v>T-65 Поворотный подъемник</v>
      </c>
      <c r="V535" s="194">
        <v>14</v>
      </c>
      <c r="W535" s="193">
        <v>14</v>
      </c>
      <c r="X535" s="187" t="str">
        <f ca="1">Sprache!$A$141</f>
        <v>Alu</v>
      </c>
      <c r="Y535" s="187" t="str">
        <f ca="1">Sprache!$A$136</f>
        <v>nein</v>
      </c>
      <c r="Z535" s="187" t="str">
        <f ca="1">Sprache!$A$79</f>
        <v>Створка</v>
      </c>
      <c r="AA535" s="187">
        <v>300</v>
      </c>
      <c r="AB535" s="124">
        <v>349</v>
      </c>
      <c r="AC535" s="187"/>
      <c r="AD535" s="195">
        <v>0.7</v>
      </c>
      <c r="AE535" s="196">
        <v>1.7</v>
      </c>
      <c r="AF535" s="263" t="str">
        <f>MID(Tabelle2[[#This Row],[bnr full]],1,4)</f>
        <v>F151</v>
      </c>
      <c r="AG535" s="264" t="str">
        <f>MID(Tabelle2[[#This Row],[bnr full]],5,3)</f>
        <v>147</v>
      </c>
      <c r="AH535" s="265" t="str">
        <f>MID(Tabelle2[[#This Row],[bnr full]],8,3)</f>
        <v>679</v>
      </c>
      <c r="AI535" s="264" t="str">
        <f>MID(Tabelle2[[#This Row],[bnr full]],11,3)</f>
        <v>201</v>
      </c>
      <c r="AJ535" s="252" t="str">
        <f>MID(Tabelle2[[#This Row],[bnr full]],11,3)</f>
        <v>201</v>
      </c>
      <c r="AK535" s="197" t="s">
        <v>806</v>
      </c>
      <c r="AL535" s="124" t="str">
        <f ca="1">Sprache!$A$111</f>
        <v>Комплект (Л + П)</v>
      </c>
      <c r="AM535" s="187" t="s">
        <v>25</v>
      </c>
      <c r="AN535" s="187" t="str">
        <f ca="1">Sprache!$A$129</f>
        <v>Пружина, желтая, односторонняя</v>
      </c>
      <c r="AO535" s="187" t="s">
        <v>25</v>
      </c>
      <c r="AP535" s="187" t="s">
        <v>25</v>
      </c>
      <c r="AQ535" s="187">
        <f>Limits!$K$9</f>
        <v>200</v>
      </c>
      <c r="AR535" s="124">
        <v>1200</v>
      </c>
      <c r="AS535" s="187"/>
      <c r="AT535" s="124"/>
      <c r="AV535"/>
      <c r="AX535" s="10"/>
      <c r="AY535" s="11"/>
      <c r="AZ535" s="2"/>
      <c r="BC535"/>
    </row>
    <row r="536" spans="1:55" hidden="1" x14ac:dyDescent="0.25">
      <c r="A536" s="12" t="str">
        <f ca="1">IF(F536+G536+H536+I536+J536+D536+E536=3,IF(Tabelle2[[#This Row],[Kappe Weiß]]=Limits!$R$29,1,""),"")</f>
        <v/>
      </c>
      <c r="B536" s="12" t="str">
        <f ca="1">IF(G536+H536+I536+J536+E536+F536=2,IF(Tabelle2[[#This Row],[Kappe Weiß]]=Limits!$R$29,1,""),"")</f>
        <v/>
      </c>
      <c r="C536" s="291">
        <v>0</v>
      </c>
      <c r="D536" s="171">
        <f>IF(Limits!$P$6=TRUE,1,0)</f>
        <v>0</v>
      </c>
      <c r="E536" s="172">
        <f>IF(Daten!$P536+Daten!$Q536+Daten!$S536=3,1,0)</f>
        <v>0</v>
      </c>
      <c r="F536" s="173">
        <f ca="1">IF(AND(Limits!$Q$21=TRUE,Daten!O536=1)=TRUE,1,0)</f>
        <v>0</v>
      </c>
      <c r="G536" s="174">
        <f>IF(AND(Limits!$Q$25=TRUE,Daten!N536=1)=TRUE,1,0)</f>
        <v>0</v>
      </c>
      <c r="H536" s="174">
        <f>IF(AND(Limits!$Q$24=TRUE,Daten!M536=1)=TRUE,1,0)</f>
        <v>0</v>
      </c>
      <c r="I536" s="174">
        <f>IF(AND(Limits!$Q$23=TRUE,Daten!L536=1)=TRUE,1,0)</f>
        <v>0</v>
      </c>
      <c r="J536" s="174">
        <f>IF(AND(Limits!$Q$22=TRUE,Daten!K536=1)=TRUE,1,0)</f>
        <v>0</v>
      </c>
      <c r="K536" s="188">
        <f>IF(Daten!$V536=13,1,0)</f>
        <v>0</v>
      </c>
      <c r="L536" s="189">
        <f>IF(Daten!$V536&lt;&gt;Daten!$W536,1,IF(Daten!$V536=14,1,0))</f>
        <v>1</v>
      </c>
      <c r="M536" s="189">
        <f>IF(Daten!$V536&lt;&gt;Daten!$W536,1,IF(Daten!$V536=16,1,0))</f>
        <v>0</v>
      </c>
      <c r="N536" s="189">
        <f>IF(Daten!$W536=17,1,0)</f>
        <v>0</v>
      </c>
      <c r="O536" s="190">
        <f ca="1">IF(Daten!$X536=Sprache!$A$70,1,0)</f>
        <v>0</v>
      </c>
      <c r="P536" s="191">
        <f>IF(AND(Daten!$AQ536&lt;=KINVARO!$AW$3,Daten!$AR536&gt;=KINVARO!$AW$3)=TRUE,1,0)</f>
        <v>1</v>
      </c>
      <c r="Q536" s="192">
        <f>IF(AND(Daten!$AA536&lt;=KINVARO!$AW$4,Daten!$AB536&gt;=KINVARO!$AW$4)=TRUE,1,0)</f>
        <v>0</v>
      </c>
      <c r="R536" s="192"/>
      <c r="S536" s="192">
        <f>IF(AND(Daten!$AD536&lt;=Limits!$I$70,Daten!$AE536&gt;=Limits!$I$70)=TRUE,1,0)</f>
        <v>0</v>
      </c>
      <c r="T536" s="193">
        <f ca="1">IF(Daten!$Y536=Sprache!$A$135,1,0)</f>
        <v>0</v>
      </c>
      <c r="U536" s="124" t="str">
        <f ca="1">Sprache!$A$68</f>
        <v>T-65 Поворотный подъемник</v>
      </c>
      <c r="V536" s="194">
        <v>14</v>
      </c>
      <c r="W536" s="193">
        <v>14</v>
      </c>
      <c r="X536" s="187" t="str">
        <f ca="1">Sprache!$A$141</f>
        <v>Alu</v>
      </c>
      <c r="Y536" s="187" t="str">
        <f ca="1">Sprache!$A$136</f>
        <v>nein</v>
      </c>
      <c r="Z536" s="187" t="str">
        <f ca="1">Sprache!$A$79</f>
        <v>Створка</v>
      </c>
      <c r="AA536" s="187">
        <v>300</v>
      </c>
      <c r="AB536" s="124">
        <v>349</v>
      </c>
      <c r="AC536" s="187"/>
      <c r="AD536" s="195">
        <v>1.4</v>
      </c>
      <c r="AE536" s="196">
        <v>3.4</v>
      </c>
      <c r="AF536" s="263" t="str">
        <f>MID(Tabelle2[[#This Row],[bnr full]],1,4)</f>
        <v>F151</v>
      </c>
      <c r="AG536" s="264" t="str">
        <f>MID(Tabelle2[[#This Row],[bnr full]],5,3)</f>
        <v>147</v>
      </c>
      <c r="AH536" s="265" t="str">
        <f>MID(Tabelle2[[#This Row],[bnr full]],8,3)</f>
        <v>679</v>
      </c>
      <c r="AI536" s="264" t="str">
        <f>MID(Tabelle2[[#This Row],[bnr full]],11,3)</f>
        <v>201</v>
      </c>
      <c r="AJ536" s="252" t="str">
        <f>MID(Tabelle2[[#This Row],[bnr full]],11,3)</f>
        <v>201</v>
      </c>
      <c r="AK536" s="197" t="s">
        <v>806</v>
      </c>
      <c r="AL536" s="124" t="str">
        <f ca="1">Sprache!$A$111</f>
        <v>Комплект (Л + П)</v>
      </c>
      <c r="AM536" s="187" t="s">
        <v>25</v>
      </c>
      <c r="AN536" s="187" t="str">
        <f ca="1">Sprache!$A$130</f>
        <v>Пружина, желтая, двусторонняя</v>
      </c>
      <c r="AO536" s="187" t="s">
        <v>25</v>
      </c>
      <c r="AP536" s="187" t="s">
        <v>25</v>
      </c>
      <c r="AQ536" s="187">
        <f>Limits!$K$9</f>
        <v>200</v>
      </c>
      <c r="AR536" s="124">
        <v>1200</v>
      </c>
      <c r="AS536" s="187"/>
      <c r="AT536" s="124"/>
      <c r="AV536"/>
      <c r="AX536" s="10"/>
      <c r="AY536" s="11"/>
      <c r="AZ536" s="2"/>
      <c r="BC536"/>
    </row>
    <row r="537" spans="1:55" hidden="1" x14ac:dyDescent="0.25">
      <c r="A537" s="12" t="str">
        <f ca="1">IF(F537+G537+H537+I537+J537+D537+E537=3,IF(Tabelle2[[#This Row],[Kappe Weiß]]=Limits!$R$29,1,""),"")</f>
        <v/>
      </c>
      <c r="B537" s="12" t="str">
        <f ca="1">IF(G537+H537+I537+J537+E537+F537=2,IF(Tabelle2[[#This Row],[Kappe Weiß]]=Limits!$R$29,1,""),"")</f>
        <v/>
      </c>
      <c r="C537" s="291">
        <v>0</v>
      </c>
      <c r="D537" s="171">
        <f>IF(Limits!$P$6=TRUE,1,0)</f>
        <v>0</v>
      </c>
      <c r="E537" s="172">
        <f>IF(Daten!$P537+Daten!$Q537+Daten!$S537=3,1,0)</f>
        <v>0</v>
      </c>
      <c r="F537" s="173">
        <f ca="1">IF(AND(Limits!$Q$21=TRUE,Daten!O537=1)=TRUE,1,0)</f>
        <v>0</v>
      </c>
      <c r="G537" s="174">
        <f>IF(AND(Limits!$Q$25=TRUE,Daten!N537=1)=TRUE,1,0)</f>
        <v>0</v>
      </c>
      <c r="H537" s="174">
        <f>IF(AND(Limits!$Q$24=TRUE,Daten!M537=1)=TRUE,1,0)</f>
        <v>0</v>
      </c>
      <c r="I537" s="174">
        <f>IF(AND(Limits!$Q$23=TRUE,Daten!L537=1)=TRUE,1,0)</f>
        <v>0</v>
      </c>
      <c r="J537" s="174">
        <f>IF(AND(Limits!$Q$22=TRUE,Daten!K537=1)=TRUE,1,0)</f>
        <v>0</v>
      </c>
      <c r="K537" s="188">
        <f>IF(Daten!$V537=13,1,0)</f>
        <v>0</v>
      </c>
      <c r="L537" s="189">
        <f>IF(Daten!$V537&lt;&gt;Daten!$W537,1,IF(Daten!$V537=14,1,0))</f>
        <v>1</v>
      </c>
      <c r="M537" s="189">
        <f>IF(Daten!$V537&lt;&gt;Daten!$W537,1,IF(Daten!$V537=16,1,0))</f>
        <v>0</v>
      </c>
      <c r="N537" s="189">
        <f>IF(Daten!$W537=17,1,0)</f>
        <v>0</v>
      </c>
      <c r="O537" s="190">
        <f ca="1">IF(Daten!$X537=Sprache!$A$70,1,0)</f>
        <v>0</v>
      </c>
      <c r="P537" s="191">
        <f>IF(AND(Daten!$AQ537&lt;=KINVARO!$AW$3,Daten!$AR537&gt;=KINVARO!$AW$3)=TRUE,1,0)</f>
        <v>1</v>
      </c>
      <c r="Q537" s="192">
        <f>IF(AND(Daten!$AA537&lt;=KINVARO!$AW$4,Daten!$AB537&gt;=KINVARO!$AW$4)=TRUE,1,0)</f>
        <v>0</v>
      </c>
      <c r="R537" s="192"/>
      <c r="S537" s="192">
        <f>IF(AND(Daten!$AD537&lt;=Limits!$I$70,Daten!$AE537&gt;=Limits!$I$70)=TRUE,1,0)</f>
        <v>0</v>
      </c>
      <c r="T537" s="193">
        <f ca="1">IF(Daten!$Y537=Sprache!$A$135,1,0)</f>
        <v>0</v>
      </c>
      <c r="U537" s="124" t="str">
        <f ca="1">Sprache!$A$68</f>
        <v>T-65 Поворотный подъемник</v>
      </c>
      <c r="V537" s="194">
        <v>14</v>
      </c>
      <c r="W537" s="193">
        <v>14</v>
      </c>
      <c r="X537" s="187" t="str">
        <f ca="1">Sprache!$A$141</f>
        <v>Alu</v>
      </c>
      <c r="Y537" s="187" t="str">
        <f ca="1">Sprache!$A$136</f>
        <v>nein</v>
      </c>
      <c r="Z537" s="187" t="str">
        <f ca="1">Sprache!$A$79</f>
        <v>Створка</v>
      </c>
      <c r="AA537" s="187">
        <v>300</v>
      </c>
      <c r="AB537" s="124">
        <v>349</v>
      </c>
      <c r="AC537" s="187"/>
      <c r="AD537" s="195">
        <v>2</v>
      </c>
      <c r="AE537" s="196">
        <v>6.3</v>
      </c>
      <c r="AF537" s="263" t="str">
        <f>MID(Tabelle2[[#This Row],[bnr full]],1,4)</f>
        <v>F151</v>
      </c>
      <c r="AG537" s="264" t="str">
        <f>MID(Tabelle2[[#This Row],[bnr full]],5,3)</f>
        <v>147</v>
      </c>
      <c r="AH537" s="265" t="str">
        <f>MID(Tabelle2[[#This Row],[bnr full]],8,3)</f>
        <v>679</v>
      </c>
      <c r="AI537" s="264" t="str">
        <f>MID(Tabelle2[[#This Row],[bnr full]],11,3)</f>
        <v>201</v>
      </c>
      <c r="AJ537" s="252" t="str">
        <f>MID(Tabelle2[[#This Row],[bnr full]],11,3)</f>
        <v>201</v>
      </c>
      <c r="AK537" s="197" t="s">
        <v>806</v>
      </c>
      <c r="AL537" s="124" t="str">
        <f ca="1">Sprache!$A$111</f>
        <v>Комплект (Л + П)</v>
      </c>
      <c r="AM537" s="187" t="s">
        <v>25</v>
      </c>
      <c r="AN537" s="187" t="str">
        <f ca="1">Sprache!$A$131</f>
        <v>Пружина, черная, двусторонняя</v>
      </c>
      <c r="AO537" s="187" t="s">
        <v>25</v>
      </c>
      <c r="AP537" s="187" t="s">
        <v>25</v>
      </c>
      <c r="AQ537" s="187">
        <f>Limits!$K$9</f>
        <v>200</v>
      </c>
      <c r="AR537" s="124">
        <v>1200</v>
      </c>
      <c r="AS537" s="187"/>
      <c r="AT537" s="124"/>
      <c r="AV537"/>
      <c r="AX537" s="10"/>
      <c r="AY537" s="11"/>
      <c r="AZ537" s="2"/>
      <c r="BC537"/>
    </row>
    <row r="538" spans="1:55" hidden="1" x14ac:dyDescent="0.25">
      <c r="A538" s="12" t="str">
        <f ca="1">IF(F538+G538+H538+I538+J538+D538+E538=3,IF(Tabelle2[[#This Row],[Kappe Weiß]]=Limits!$R$29,1,""),"")</f>
        <v/>
      </c>
      <c r="B538" s="12" t="str">
        <f ca="1">IF(G538+H538+I538+J538+E538+F538=2,IF(Tabelle2[[#This Row],[Kappe Weiß]]=Limits!$R$29,1,""),"")</f>
        <v/>
      </c>
      <c r="C538" s="291">
        <v>0</v>
      </c>
      <c r="D538" s="171">
        <f>IF(Limits!$P$6=TRUE,1,0)</f>
        <v>0</v>
      </c>
      <c r="E538" s="172">
        <f>IF(Daten!$P538+Daten!$Q538+Daten!$S538=3,1,0)</f>
        <v>0</v>
      </c>
      <c r="F538" s="173">
        <f ca="1">IF(AND(Limits!$Q$21=TRUE,Daten!O538=1)=TRUE,1,0)</f>
        <v>0</v>
      </c>
      <c r="G538" s="174">
        <f>IF(AND(Limits!$Q$25=TRUE,Daten!N538=1)=TRUE,1,0)</f>
        <v>0</v>
      </c>
      <c r="H538" s="174">
        <f>IF(AND(Limits!$Q$24=TRUE,Daten!M538=1)=TRUE,1,0)</f>
        <v>0</v>
      </c>
      <c r="I538" s="174">
        <f>IF(AND(Limits!$Q$23=TRUE,Daten!L538=1)=TRUE,1,0)</f>
        <v>0</v>
      </c>
      <c r="J538" s="174">
        <f>IF(AND(Limits!$Q$22=TRUE,Daten!K538=1)=TRUE,1,0)</f>
        <v>0</v>
      </c>
      <c r="K538" s="188">
        <f>IF(Daten!$V538=13,1,0)</f>
        <v>0</v>
      </c>
      <c r="L538" s="189">
        <f>IF(Daten!$V538&lt;&gt;Daten!$W538,1,IF(Daten!$V538=14,1,0))</f>
        <v>0</v>
      </c>
      <c r="M538" s="189">
        <f>IF(Daten!$V538&lt;&gt;Daten!$W538,1,IF(Daten!$V538=16,1,0))</f>
        <v>1</v>
      </c>
      <c r="N538" s="189">
        <f>IF(Daten!$W538=17,1,0)</f>
        <v>0</v>
      </c>
      <c r="O538" s="190">
        <f ca="1">IF(Daten!$X538=Sprache!$A$70,1,0)</f>
        <v>0</v>
      </c>
      <c r="P538" s="191">
        <f>IF(AND(Daten!$AQ538&lt;=KINVARO!$AW$3,Daten!$AR538&gt;=KINVARO!$AW$3)=TRUE,1,0)</f>
        <v>1</v>
      </c>
      <c r="Q538" s="192">
        <f>IF(AND(Daten!$AA538&lt;=KINVARO!$AW$4,Daten!$AB538&gt;=KINVARO!$AW$4)=TRUE,1,0)</f>
        <v>0</v>
      </c>
      <c r="R538" s="192"/>
      <c r="S538" s="192">
        <f>IF(AND(Daten!$AD538&lt;=Limits!$I$70,Daten!$AE538&gt;=Limits!$I$70)=TRUE,1,0)</f>
        <v>0</v>
      </c>
      <c r="T538" s="193">
        <f ca="1">IF(Daten!$Y538=Sprache!$A$135,1,0)</f>
        <v>0</v>
      </c>
      <c r="U538" s="124" t="str">
        <f ca="1">Sprache!$A$68</f>
        <v>T-65 Поворотный подъемник</v>
      </c>
      <c r="V538" s="194">
        <v>16</v>
      </c>
      <c r="W538" s="193">
        <v>16</v>
      </c>
      <c r="X538" s="187" t="str">
        <f ca="1">Sprache!$A$141</f>
        <v>Alu</v>
      </c>
      <c r="Y538" s="187" t="str">
        <f ca="1">Sprache!$A$136</f>
        <v>nein</v>
      </c>
      <c r="Z538" s="187" t="str">
        <f ca="1">Sprache!$A$79</f>
        <v>Створка</v>
      </c>
      <c r="AA538" s="187">
        <v>300</v>
      </c>
      <c r="AB538" s="124">
        <v>349</v>
      </c>
      <c r="AC538" s="187"/>
      <c r="AD538" s="195">
        <v>0.7</v>
      </c>
      <c r="AE538" s="196">
        <v>1.7</v>
      </c>
      <c r="AF538" s="263" t="str">
        <f>MID(Tabelle2[[#This Row],[bnr full]],1,4)</f>
        <v>F151</v>
      </c>
      <c r="AG538" s="264" t="str">
        <f>MID(Tabelle2[[#This Row],[bnr full]],5,3)</f>
        <v>147</v>
      </c>
      <c r="AH538" s="265" t="str">
        <f>MID(Tabelle2[[#This Row],[bnr full]],8,3)</f>
        <v>680</v>
      </c>
      <c r="AI538" s="264" t="str">
        <f>MID(Tabelle2[[#This Row],[bnr full]],11,3)</f>
        <v>201</v>
      </c>
      <c r="AJ538" s="252" t="str">
        <f>MID(Tabelle2[[#This Row],[bnr full]],11,3)</f>
        <v>201</v>
      </c>
      <c r="AK538" s="197" t="s">
        <v>807</v>
      </c>
      <c r="AL538" s="124" t="str">
        <f ca="1">Sprache!$A$111</f>
        <v>Комплект (Л + П)</v>
      </c>
      <c r="AM538" s="187" t="s">
        <v>25</v>
      </c>
      <c r="AN538" s="187" t="str">
        <f ca="1">Sprache!$A$129</f>
        <v>Пружина, желтая, односторонняя</v>
      </c>
      <c r="AO538" s="187" t="s">
        <v>25</v>
      </c>
      <c r="AP538" s="187" t="s">
        <v>25</v>
      </c>
      <c r="AQ538" s="187">
        <f>Limits!$K$9</f>
        <v>200</v>
      </c>
      <c r="AR538" s="124">
        <v>1200</v>
      </c>
      <c r="AS538" s="187"/>
      <c r="AT538" s="124"/>
      <c r="AV538"/>
      <c r="AX538" s="10"/>
      <c r="AY538" s="11"/>
      <c r="AZ538" s="2"/>
      <c r="BC538"/>
    </row>
    <row r="539" spans="1:55" hidden="1" x14ac:dyDescent="0.25">
      <c r="A539" s="12" t="str">
        <f ca="1">IF(F539+G539+H539+I539+J539+D539+E539=3,IF(Tabelle2[[#This Row],[Kappe Weiß]]=Limits!$R$29,1,""),"")</f>
        <v/>
      </c>
      <c r="B539" s="12" t="str">
        <f ca="1">IF(G539+H539+I539+J539+E539+F539=2,IF(Tabelle2[[#This Row],[Kappe Weiß]]=Limits!$R$29,1,""),"")</f>
        <v/>
      </c>
      <c r="C539" s="291">
        <v>0</v>
      </c>
      <c r="D539" s="171">
        <f>IF(Limits!$P$6=TRUE,1,0)</f>
        <v>0</v>
      </c>
      <c r="E539" s="172">
        <f>IF(Daten!$P539+Daten!$Q539+Daten!$S539=3,1,0)</f>
        <v>0</v>
      </c>
      <c r="F539" s="173">
        <f ca="1">IF(AND(Limits!$Q$21=TRUE,Daten!O539=1)=TRUE,1,0)</f>
        <v>0</v>
      </c>
      <c r="G539" s="174">
        <f>IF(AND(Limits!$Q$25=TRUE,Daten!N539=1)=TRUE,1,0)</f>
        <v>0</v>
      </c>
      <c r="H539" s="174">
        <f>IF(AND(Limits!$Q$24=TRUE,Daten!M539=1)=TRUE,1,0)</f>
        <v>0</v>
      </c>
      <c r="I539" s="174">
        <f>IF(AND(Limits!$Q$23=TRUE,Daten!L539=1)=TRUE,1,0)</f>
        <v>0</v>
      </c>
      <c r="J539" s="174">
        <f>IF(AND(Limits!$Q$22=TRUE,Daten!K539=1)=TRUE,1,0)</f>
        <v>0</v>
      </c>
      <c r="K539" s="188">
        <f>IF(Daten!$V539=13,1,0)</f>
        <v>0</v>
      </c>
      <c r="L539" s="189">
        <f>IF(Daten!$V539&lt;&gt;Daten!$W539,1,IF(Daten!$V539=14,1,0))</f>
        <v>0</v>
      </c>
      <c r="M539" s="189">
        <f>IF(Daten!$V539&lt;&gt;Daten!$W539,1,IF(Daten!$V539=16,1,0))</f>
        <v>1</v>
      </c>
      <c r="N539" s="189">
        <f>IF(Daten!$W539=17,1,0)</f>
        <v>0</v>
      </c>
      <c r="O539" s="190">
        <f ca="1">IF(Daten!$X539=Sprache!$A$70,1,0)</f>
        <v>0</v>
      </c>
      <c r="P539" s="191">
        <f>IF(AND(Daten!$AQ539&lt;=KINVARO!$AW$3,Daten!$AR539&gt;=KINVARO!$AW$3)=TRUE,1,0)</f>
        <v>1</v>
      </c>
      <c r="Q539" s="192">
        <f>IF(AND(Daten!$AA539&lt;=KINVARO!$AW$4,Daten!$AB539&gt;=KINVARO!$AW$4)=TRUE,1,0)</f>
        <v>0</v>
      </c>
      <c r="R539" s="192"/>
      <c r="S539" s="192">
        <f>IF(AND(Daten!$AD539&lt;=Limits!$I$70,Daten!$AE539&gt;=Limits!$I$70)=TRUE,1,0)</f>
        <v>0</v>
      </c>
      <c r="T539" s="193">
        <f ca="1">IF(Daten!$Y539=Sprache!$A$135,1,0)</f>
        <v>0</v>
      </c>
      <c r="U539" s="124" t="str">
        <f ca="1">Sprache!$A$68</f>
        <v>T-65 Поворотный подъемник</v>
      </c>
      <c r="V539" s="194">
        <v>16</v>
      </c>
      <c r="W539" s="193">
        <v>16</v>
      </c>
      <c r="X539" s="187" t="str">
        <f ca="1">Sprache!$A$141</f>
        <v>Alu</v>
      </c>
      <c r="Y539" s="187" t="str">
        <f ca="1">Sprache!$A$136</f>
        <v>nein</v>
      </c>
      <c r="Z539" s="187" t="str">
        <f ca="1">Sprache!$A$79</f>
        <v>Створка</v>
      </c>
      <c r="AA539" s="187">
        <v>300</v>
      </c>
      <c r="AB539" s="124">
        <v>349</v>
      </c>
      <c r="AC539" s="187"/>
      <c r="AD539" s="195">
        <v>1.4</v>
      </c>
      <c r="AE539" s="196">
        <v>3.4</v>
      </c>
      <c r="AF539" s="263" t="str">
        <f>MID(Tabelle2[[#This Row],[bnr full]],1,4)</f>
        <v>F151</v>
      </c>
      <c r="AG539" s="264" t="str">
        <f>MID(Tabelle2[[#This Row],[bnr full]],5,3)</f>
        <v>147</v>
      </c>
      <c r="AH539" s="265" t="str">
        <f>MID(Tabelle2[[#This Row],[bnr full]],8,3)</f>
        <v>680</v>
      </c>
      <c r="AI539" s="264" t="str">
        <f>MID(Tabelle2[[#This Row],[bnr full]],11,3)</f>
        <v>201</v>
      </c>
      <c r="AJ539" s="252" t="str">
        <f>MID(Tabelle2[[#This Row],[bnr full]],11,3)</f>
        <v>201</v>
      </c>
      <c r="AK539" s="197" t="s">
        <v>807</v>
      </c>
      <c r="AL539" s="124" t="str">
        <f ca="1">Sprache!$A$111</f>
        <v>Комплект (Л + П)</v>
      </c>
      <c r="AM539" s="187" t="s">
        <v>25</v>
      </c>
      <c r="AN539" s="187" t="str">
        <f ca="1">Sprache!$A$130</f>
        <v>Пружина, желтая, двусторонняя</v>
      </c>
      <c r="AO539" s="187" t="s">
        <v>25</v>
      </c>
      <c r="AP539" s="187" t="s">
        <v>25</v>
      </c>
      <c r="AQ539" s="187">
        <f>Limits!$K$9</f>
        <v>200</v>
      </c>
      <c r="AR539" s="124">
        <v>1200</v>
      </c>
      <c r="AS539" s="187"/>
      <c r="AT539" s="124"/>
      <c r="AV539"/>
      <c r="AX539" s="10"/>
      <c r="AY539" s="11"/>
      <c r="AZ539" s="2"/>
      <c r="BC539"/>
    </row>
    <row r="540" spans="1:55" hidden="1" x14ac:dyDescent="0.25">
      <c r="A540" s="12" t="str">
        <f ca="1">IF(F540+G540+H540+I540+J540+D540+E540=3,IF(Tabelle2[[#This Row],[Kappe Weiß]]=Limits!$R$29,1,""),"")</f>
        <v/>
      </c>
      <c r="B540" s="12" t="str">
        <f ca="1">IF(G540+H540+I540+J540+E540+F540=2,IF(Tabelle2[[#This Row],[Kappe Weiß]]=Limits!$R$29,1,""),"")</f>
        <v/>
      </c>
      <c r="C540" s="291">
        <v>0</v>
      </c>
      <c r="D540" s="171">
        <f>IF(Limits!$P$6=TRUE,1,0)</f>
        <v>0</v>
      </c>
      <c r="E540" s="172">
        <f>IF(Daten!$P540+Daten!$Q540+Daten!$S540=3,1,0)</f>
        <v>0</v>
      </c>
      <c r="F540" s="173">
        <f ca="1">IF(AND(Limits!$Q$21=TRUE,Daten!O540=1)=TRUE,1,0)</f>
        <v>0</v>
      </c>
      <c r="G540" s="174">
        <f>IF(AND(Limits!$Q$25=TRUE,Daten!N540=1)=TRUE,1,0)</f>
        <v>0</v>
      </c>
      <c r="H540" s="174">
        <f>IF(AND(Limits!$Q$24=TRUE,Daten!M540=1)=TRUE,1,0)</f>
        <v>0</v>
      </c>
      <c r="I540" s="174">
        <f>IF(AND(Limits!$Q$23=TRUE,Daten!L540=1)=TRUE,1,0)</f>
        <v>0</v>
      </c>
      <c r="J540" s="174">
        <f>IF(AND(Limits!$Q$22=TRUE,Daten!K540=1)=TRUE,1,0)</f>
        <v>0</v>
      </c>
      <c r="K540" s="188">
        <f>IF(Daten!$V540=13,1,0)</f>
        <v>0</v>
      </c>
      <c r="L540" s="189">
        <f>IF(Daten!$V540&lt;&gt;Daten!$W540,1,IF(Daten!$V540=14,1,0))</f>
        <v>0</v>
      </c>
      <c r="M540" s="189">
        <f>IF(Daten!$V540&lt;&gt;Daten!$W540,1,IF(Daten!$V540=16,1,0))</f>
        <v>1</v>
      </c>
      <c r="N540" s="189">
        <f>IF(Daten!$W540=17,1,0)</f>
        <v>0</v>
      </c>
      <c r="O540" s="190">
        <f ca="1">IF(Daten!$X540=Sprache!$A$70,1,0)</f>
        <v>0</v>
      </c>
      <c r="P540" s="191">
        <f>IF(AND(Daten!$AQ540&lt;=KINVARO!$AW$3,Daten!$AR540&gt;=KINVARO!$AW$3)=TRUE,1,0)</f>
        <v>1</v>
      </c>
      <c r="Q540" s="192">
        <f>IF(AND(Daten!$AA540&lt;=KINVARO!$AW$4,Daten!$AB540&gt;=KINVARO!$AW$4)=TRUE,1,0)</f>
        <v>0</v>
      </c>
      <c r="R540" s="192"/>
      <c r="S540" s="192">
        <f>IF(AND(Daten!$AD540&lt;=Limits!$I$70,Daten!$AE540&gt;=Limits!$I$70)=TRUE,1,0)</f>
        <v>0</v>
      </c>
      <c r="T540" s="193">
        <f ca="1">IF(Daten!$Y540=Sprache!$A$135,1,0)</f>
        <v>0</v>
      </c>
      <c r="U540" s="124" t="str">
        <f ca="1">Sprache!$A$68</f>
        <v>T-65 Поворотный подъемник</v>
      </c>
      <c r="V540" s="194">
        <v>16</v>
      </c>
      <c r="W540" s="193">
        <v>16</v>
      </c>
      <c r="X540" s="187" t="str">
        <f ca="1">Sprache!$A$141</f>
        <v>Alu</v>
      </c>
      <c r="Y540" s="187" t="str">
        <f ca="1">Sprache!$A$136</f>
        <v>nein</v>
      </c>
      <c r="Z540" s="187" t="str">
        <f ca="1">Sprache!$A$79</f>
        <v>Створка</v>
      </c>
      <c r="AA540" s="187">
        <v>300</v>
      </c>
      <c r="AB540" s="124">
        <v>349</v>
      </c>
      <c r="AC540" s="187"/>
      <c r="AD540" s="195">
        <v>2</v>
      </c>
      <c r="AE540" s="196">
        <v>6.3</v>
      </c>
      <c r="AF540" s="263" t="str">
        <f>MID(Tabelle2[[#This Row],[bnr full]],1,4)</f>
        <v>F151</v>
      </c>
      <c r="AG540" s="264" t="str">
        <f>MID(Tabelle2[[#This Row],[bnr full]],5,3)</f>
        <v>147</v>
      </c>
      <c r="AH540" s="265" t="str">
        <f>MID(Tabelle2[[#This Row],[bnr full]],8,3)</f>
        <v>680</v>
      </c>
      <c r="AI540" s="264" t="str">
        <f>MID(Tabelle2[[#This Row],[bnr full]],11,3)</f>
        <v>201</v>
      </c>
      <c r="AJ540" s="252" t="str">
        <f>MID(Tabelle2[[#This Row],[bnr full]],11,3)</f>
        <v>201</v>
      </c>
      <c r="AK540" s="197" t="s">
        <v>807</v>
      </c>
      <c r="AL540" s="124" t="str">
        <f ca="1">Sprache!$A$111</f>
        <v>Комплект (Л + П)</v>
      </c>
      <c r="AM540" s="187" t="s">
        <v>25</v>
      </c>
      <c r="AN540" s="187" t="str">
        <f ca="1">Sprache!$A$131</f>
        <v>Пружина, черная, двусторонняя</v>
      </c>
      <c r="AO540" s="187" t="s">
        <v>25</v>
      </c>
      <c r="AP540" s="187" t="s">
        <v>25</v>
      </c>
      <c r="AQ540" s="187">
        <f>Limits!$K$9</f>
        <v>200</v>
      </c>
      <c r="AR540" s="124">
        <v>1200</v>
      </c>
      <c r="AS540" s="187"/>
      <c r="AT540" s="124"/>
      <c r="AV540"/>
      <c r="AX540" s="10"/>
      <c r="AY540" s="11"/>
      <c r="AZ540" s="2"/>
      <c r="BC540"/>
    </row>
    <row r="541" spans="1:55" hidden="1" x14ac:dyDescent="0.25">
      <c r="A541" s="12" t="str">
        <f ca="1">IF(F541+G541+H541+I541+J541+D541+E541=3,IF(Tabelle2[[#This Row],[Kappe Weiß]]=Limits!$R$29,1,""),"")</f>
        <v/>
      </c>
      <c r="B541" s="12" t="str">
        <f ca="1">IF(G541+H541+I541+J541+E541+F541=2,IF(Tabelle2[[#This Row],[Kappe Weiß]]=Limits!$R$29,1,""),"")</f>
        <v/>
      </c>
      <c r="C541" s="291">
        <v>0</v>
      </c>
      <c r="D541" s="171">
        <f>IF(Limits!$P$6=TRUE,1,0)</f>
        <v>0</v>
      </c>
      <c r="E541" s="172">
        <f>IF(Daten!$P541+Daten!$Q541+Daten!$S541=3,1,0)</f>
        <v>0</v>
      </c>
      <c r="F541" s="173">
        <f ca="1">IF(AND(Limits!$Q$21=TRUE,Daten!O541=1)=TRUE,1,0)</f>
        <v>0</v>
      </c>
      <c r="G541" s="174">
        <f>IF(AND(Limits!$Q$25=TRUE,Daten!N541=1)=TRUE,1,0)</f>
        <v>0</v>
      </c>
      <c r="H541" s="174">
        <f>IF(AND(Limits!$Q$24=TRUE,Daten!M541=1)=TRUE,1,0)</f>
        <v>0</v>
      </c>
      <c r="I541" s="174">
        <f>IF(AND(Limits!$Q$23=TRUE,Daten!L541=1)=TRUE,1,0)</f>
        <v>0</v>
      </c>
      <c r="J541" s="174">
        <f>IF(AND(Limits!$Q$22=TRUE,Daten!K541=1)=TRUE,1,0)</f>
        <v>0</v>
      </c>
      <c r="K541" s="188">
        <f>IF(Daten!$V541=13,1,0)</f>
        <v>0</v>
      </c>
      <c r="L541" s="189">
        <f>IF(Daten!$V541&lt;&gt;Daten!$W541,1,IF(Daten!$V541=14,1,0))</f>
        <v>0</v>
      </c>
      <c r="M541" s="189">
        <f>IF(Daten!$V541&lt;&gt;Daten!$W541,1,IF(Daten!$V541=16,1,0))</f>
        <v>0</v>
      </c>
      <c r="N541" s="189">
        <f>IF(Daten!$W541=17,1,0)</f>
        <v>1</v>
      </c>
      <c r="O541" s="190">
        <f ca="1">IF(Daten!$X541=Sprache!$A$70,1,0)</f>
        <v>0</v>
      </c>
      <c r="P541" s="191">
        <f>IF(AND(Daten!$AQ541&lt;=KINVARO!$AW$3,Daten!$AR541&gt;=KINVARO!$AW$3)=TRUE,1,0)</f>
        <v>1</v>
      </c>
      <c r="Q541" s="192">
        <f>IF(AND(Daten!$AA541&lt;=KINVARO!$AW$4,Daten!$AB541&gt;=KINVARO!$AW$4)=TRUE,1,0)</f>
        <v>0</v>
      </c>
      <c r="R541" s="192"/>
      <c r="S541" s="192">
        <f>IF(AND(Daten!$AD541&lt;=Limits!$I$70,Daten!$AE541&gt;=Limits!$I$70)=TRUE,1,0)</f>
        <v>0</v>
      </c>
      <c r="T541" s="193">
        <f ca="1">IF(Daten!$Y541=Sprache!$A$135,1,0)</f>
        <v>0</v>
      </c>
      <c r="U541" s="124" t="str">
        <f ca="1">Sprache!$A$68</f>
        <v>T-65 Поворотный подъемник</v>
      </c>
      <c r="V541" s="194">
        <v>17</v>
      </c>
      <c r="W541" s="193">
        <v>17</v>
      </c>
      <c r="X541" s="187" t="str">
        <f ca="1">Sprache!$A$141</f>
        <v>Alu</v>
      </c>
      <c r="Y541" s="187" t="str">
        <f ca="1">Sprache!$A$136</f>
        <v>nein</v>
      </c>
      <c r="Z541" s="187" t="str">
        <f ca="1">Sprache!$A$79</f>
        <v>Створка</v>
      </c>
      <c r="AA541" s="187">
        <v>300</v>
      </c>
      <c r="AB541" s="124">
        <v>349</v>
      </c>
      <c r="AC541" s="187"/>
      <c r="AD541" s="195">
        <v>0.7</v>
      </c>
      <c r="AE541" s="196">
        <v>1.7</v>
      </c>
      <c r="AF541" s="263" t="str">
        <f>MID(Tabelle2[[#This Row],[bnr full]],1,4)</f>
        <v>F151</v>
      </c>
      <c r="AG541" s="264" t="str">
        <f>MID(Tabelle2[[#This Row],[bnr full]],5,3)</f>
        <v>147</v>
      </c>
      <c r="AH541" s="265" t="str">
        <f>MID(Tabelle2[[#This Row],[bnr full]],8,3)</f>
        <v>681</v>
      </c>
      <c r="AI541" s="264" t="str">
        <f>MID(Tabelle2[[#This Row],[bnr full]],11,3)</f>
        <v>201</v>
      </c>
      <c r="AJ541" s="252" t="str">
        <f>MID(Tabelle2[[#This Row],[bnr full]],11,3)</f>
        <v>201</v>
      </c>
      <c r="AK541" s="197" t="s">
        <v>808</v>
      </c>
      <c r="AL541" s="124" t="str">
        <f ca="1">Sprache!$A$111</f>
        <v>Комплект (Л + П)</v>
      </c>
      <c r="AM541" s="187" t="s">
        <v>25</v>
      </c>
      <c r="AN541" s="187" t="str">
        <f ca="1">Sprache!$A$129</f>
        <v>Пружина, желтая, односторонняя</v>
      </c>
      <c r="AO541" s="187" t="s">
        <v>25</v>
      </c>
      <c r="AP541" s="187" t="s">
        <v>25</v>
      </c>
      <c r="AQ541" s="187">
        <f>Limits!$K$9</f>
        <v>200</v>
      </c>
      <c r="AR541" s="124">
        <v>1200</v>
      </c>
      <c r="AS541" s="187"/>
      <c r="AT541" s="124"/>
      <c r="AV541"/>
      <c r="AX541" s="10"/>
      <c r="AY541" s="11"/>
      <c r="AZ541" s="2"/>
      <c r="BC541"/>
    </row>
    <row r="542" spans="1:55" hidden="1" x14ac:dyDescent="0.25">
      <c r="A542" s="12" t="str">
        <f ca="1">IF(F542+G542+H542+I542+J542+D542+E542=3,IF(Tabelle2[[#This Row],[Kappe Weiß]]=Limits!$R$29,1,""),"")</f>
        <v/>
      </c>
      <c r="B542" s="12" t="str">
        <f ca="1">IF(G542+H542+I542+J542+E542+F542=2,IF(Tabelle2[[#This Row],[Kappe Weiß]]=Limits!$R$29,1,""),"")</f>
        <v/>
      </c>
      <c r="C542" s="291">
        <v>0</v>
      </c>
      <c r="D542" s="171">
        <f>IF(Limits!$P$6=TRUE,1,0)</f>
        <v>0</v>
      </c>
      <c r="E542" s="172">
        <f>IF(Daten!$P542+Daten!$Q542+Daten!$S542=3,1,0)</f>
        <v>0</v>
      </c>
      <c r="F542" s="173">
        <f ca="1">IF(AND(Limits!$Q$21=TRUE,Daten!O542=1)=TRUE,1,0)</f>
        <v>0</v>
      </c>
      <c r="G542" s="174">
        <f>IF(AND(Limits!$Q$25=TRUE,Daten!N542=1)=TRUE,1,0)</f>
        <v>0</v>
      </c>
      <c r="H542" s="174">
        <f>IF(AND(Limits!$Q$24=TRUE,Daten!M542=1)=TRUE,1,0)</f>
        <v>0</v>
      </c>
      <c r="I542" s="174">
        <f>IF(AND(Limits!$Q$23=TRUE,Daten!L542=1)=TRUE,1,0)</f>
        <v>0</v>
      </c>
      <c r="J542" s="174">
        <f>IF(AND(Limits!$Q$22=TRUE,Daten!K542=1)=TRUE,1,0)</f>
        <v>0</v>
      </c>
      <c r="K542" s="188">
        <f>IF(Daten!$V542=13,1,0)</f>
        <v>0</v>
      </c>
      <c r="L542" s="189">
        <f>IF(Daten!$V542&lt;&gt;Daten!$W542,1,IF(Daten!$V542=14,1,0))</f>
        <v>0</v>
      </c>
      <c r="M542" s="189">
        <f>IF(Daten!$V542&lt;&gt;Daten!$W542,1,IF(Daten!$V542=16,1,0))</f>
        <v>0</v>
      </c>
      <c r="N542" s="189">
        <f>IF(Daten!$W542=17,1,0)</f>
        <v>1</v>
      </c>
      <c r="O542" s="190">
        <f ca="1">IF(Daten!$X542=Sprache!$A$70,1,0)</f>
        <v>0</v>
      </c>
      <c r="P542" s="191">
        <f>IF(AND(Daten!$AQ542&lt;=KINVARO!$AW$3,Daten!$AR542&gt;=KINVARO!$AW$3)=TRUE,1,0)</f>
        <v>1</v>
      </c>
      <c r="Q542" s="192">
        <f>IF(AND(Daten!$AA542&lt;=KINVARO!$AW$4,Daten!$AB542&gt;=KINVARO!$AW$4)=TRUE,1,0)</f>
        <v>0</v>
      </c>
      <c r="R542" s="192"/>
      <c r="S542" s="192">
        <f>IF(AND(Daten!$AD542&lt;=Limits!$I$70,Daten!$AE542&gt;=Limits!$I$70)=TRUE,1,0)</f>
        <v>0</v>
      </c>
      <c r="T542" s="193">
        <f ca="1">IF(Daten!$Y542=Sprache!$A$135,1,0)</f>
        <v>0</v>
      </c>
      <c r="U542" s="124" t="str">
        <f ca="1">Sprache!$A$68</f>
        <v>T-65 Поворотный подъемник</v>
      </c>
      <c r="V542" s="194">
        <v>17</v>
      </c>
      <c r="W542" s="193">
        <v>17</v>
      </c>
      <c r="X542" s="187" t="str">
        <f ca="1">Sprache!$A$141</f>
        <v>Alu</v>
      </c>
      <c r="Y542" s="187" t="str">
        <f ca="1">Sprache!$A$136</f>
        <v>nein</v>
      </c>
      <c r="Z542" s="187" t="str">
        <f ca="1">Sprache!$A$79</f>
        <v>Створка</v>
      </c>
      <c r="AA542" s="187">
        <v>300</v>
      </c>
      <c r="AB542" s="124">
        <v>349</v>
      </c>
      <c r="AC542" s="187"/>
      <c r="AD542" s="195">
        <v>1.4</v>
      </c>
      <c r="AE542" s="196">
        <v>3.4</v>
      </c>
      <c r="AF542" s="263" t="str">
        <f>MID(Tabelle2[[#This Row],[bnr full]],1,4)</f>
        <v>F151</v>
      </c>
      <c r="AG542" s="264" t="str">
        <f>MID(Tabelle2[[#This Row],[bnr full]],5,3)</f>
        <v>147</v>
      </c>
      <c r="AH542" s="265" t="str">
        <f>MID(Tabelle2[[#This Row],[bnr full]],8,3)</f>
        <v>681</v>
      </c>
      <c r="AI542" s="264" t="str">
        <f>MID(Tabelle2[[#This Row],[bnr full]],11,3)</f>
        <v>201</v>
      </c>
      <c r="AJ542" s="252" t="str">
        <f>MID(Tabelle2[[#This Row],[bnr full]],11,3)</f>
        <v>201</v>
      </c>
      <c r="AK542" s="197" t="s">
        <v>808</v>
      </c>
      <c r="AL542" s="124" t="str">
        <f ca="1">Sprache!$A$111</f>
        <v>Комплект (Л + П)</v>
      </c>
      <c r="AM542" s="187" t="s">
        <v>25</v>
      </c>
      <c r="AN542" s="187" t="str">
        <f ca="1">Sprache!$A$130</f>
        <v>Пружина, желтая, двусторонняя</v>
      </c>
      <c r="AO542" s="187" t="s">
        <v>25</v>
      </c>
      <c r="AP542" s="187" t="s">
        <v>25</v>
      </c>
      <c r="AQ542" s="187">
        <f>Limits!$K$9</f>
        <v>200</v>
      </c>
      <c r="AR542" s="124">
        <v>1200</v>
      </c>
      <c r="AS542" s="187"/>
      <c r="AT542" s="124"/>
      <c r="AV542"/>
      <c r="AX542" s="10"/>
      <c r="AY542" s="11"/>
      <c r="AZ542" s="2"/>
      <c r="BC542"/>
    </row>
    <row r="543" spans="1:55" hidden="1" x14ac:dyDescent="0.25">
      <c r="A543" s="12" t="str">
        <f ca="1">IF(F543+G543+H543+I543+J543+D543+E543=3,IF(Tabelle2[[#This Row],[Kappe Weiß]]=Limits!$R$29,1,""),"")</f>
        <v/>
      </c>
      <c r="B543" s="12" t="str">
        <f ca="1">IF(G543+H543+I543+J543+E543+F543=2,IF(Tabelle2[[#This Row],[Kappe Weiß]]=Limits!$R$29,1,""),"")</f>
        <v/>
      </c>
      <c r="C543" s="291">
        <v>0</v>
      </c>
      <c r="D543" s="171">
        <f>IF(Limits!$P$6=TRUE,1,0)</f>
        <v>0</v>
      </c>
      <c r="E543" s="172">
        <f>IF(Daten!$P543+Daten!$Q543+Daten!$S543=3,1,0)</f>
        <v>0</v>
      </c>
      <c r="F543" s="173">
        <f ca="1">IF(AND(Limits!$Q$21=TRUE,Daten!O543=1)=TRUE,1,0)</f>
        <v>0</v>
      </c>
      <c r="G543" s="174">
        <f>IF(AND(Limits!$Q$25=TRUE,Daten!N543=1)=TRUE,1,0)</f>
        <v>0</v>
      </c>
      <c r="H543" s="174">
        <f>IF(AND(Limits!$Q$24=TRUE,Daten!M543=1)=TRUE,1,0)</f>
        <v>0</v>
      </c>
      <c r="I543" s="174">
        <f>IF(AND(Limits!$Q$23=TRUE,Daten!L543=1)=TRUE,1,0)</f>
        <v>0</v>
      </c>
      <c r="J543" s="174">
        <f>IF(AND(Limits!$Q$22=TRUE,Daten!K543=1)=TRUE,1,0)</f>
        <v>0</v>
      </c>
      <c r="K543" s="188">
        <f>IF(Daten!$V543=13,1,0)</f>
        <v>0</v>
      </c>
      <c r="L543" s="189">
        <f>IF(Daten!$V543&lt;&gt;Daten!$W543,1,IF(Daten!$V543=14,1,0))</f>
        <v>0</v>
      </c>
      <c r="M543" s="189">
        <f>IF(Daten!$V543&lt;&gt;Daten!$W543,1,IF(Daten!$V543=16,1,0))</f>
        <v>0</v>
      </c>
      <c r="N543" s="189">
        <f>IF(Daten!$W543=17,1,0)</f>
        <v>1</v>
      </c>
      <c r="O543" s="190">
        <f ca="1">IF(Daten!$X543=Sprache!$A$70,1,0)</f>
        <v>0</v>
      </c>
      <c r="P543" s="191">
        <f>IF(AND(Daten!$AQ543&lt;=KINVARO!$AW$3,Daten!$AR543&gt;=KINVARO!$AW$3)=TRUE,1,0)</f>
        <v>1</v>
      </c>
      <c r="Q543" s="192">
        <f>IF(AND(Daten!$AA543&lt;=KINVARO!$AW$4,Daten!$AB543&gt;=KINVARO!$AW$4)=TRUE,1,0)</f>
        <v>0</v>
      </c>
      <c r="R543" s="192"/>
      <c r="S543" s="192">
        <f>IF(AND(Daten!$AD543&lt;=Limits!$I$70,Daten!$AE543&gt;=Limits!$I$70)=TRUE,1,0)</f>
        <v>0</v>
      </c>
      <c r="T543" s="193">
        <f ca="1">IF(Daten!$Y543=Sprache!$A$135,1,0)</f>
        <v>0</v>
      </c>
      <c r="U543" s="124" t="str">
        <f ca="1">Sprache!$A$68</f>
        <v>T-65 Поворотный подъемник</v>
      </c>
      <c r="V543" s="194">
        <v>17</v>
      </c>
      <c r="W543" s="193">
        <v>17</v>
      </c>
      <c r="X543" s="187" t="str">
        <f ca="1">Sprache!$A$141</f>
        <v>Alu</v>
      </c>
      <c r="Y543" s="187" t="str">
        <f ca="1">Sprache!$A$136</f>
        <v>nein</v>
      </c>
      <c r="Z543" s="187" t="str">
        <f ca="1">Sprache!$A$79</f>
        <v>Створка</v>
      </c>
      <c r="AA543" s="187">
        <v>300</v>
      </c>
      <c r="AB543" s="124">
        <v>349</v>
      </c>
      <c r="AC543" s="187"/>
      <c r="AD543" s="195">
        <v>2</v>
      </c>
      <c r="AE543" s="196">
        <v>6.3</v>
      </c>
      <c r="AF543" s="263" t="str">
        <f>MID(Tabelle2[[#This Row],[bnr full]],1,4)</f>
        <v>F151</v>
      </c>
      <c r="AG543" s="264" t="str">
        <f>MID(Tabelle2[[#This Row],[bnr full]],5,3)</f>
        <v>147</v>
      </c>
      <c r="AH543" s="265" t="str">
        <f>MID(Tabelle2[[#This Row],[bnr full]],8,3)</f>
        <v>681</v>
      </c>
      <c r="AI543" s="264" t="str">
        <f>MID(Tabelle2[[#This Row],[bnr full]],11,3)</f>
        <v>201</v>
      </c>
      <c r="AJ543" s="252" t="str">
        <f>MID(Tabelle2[[#This Row],[bnr full]],11,3)</f>
        <v>201</v>
      </c>
      <c r="AK543" s="197" t="s">
        <v>808</v>
      </c>
      <c r="AL543" s="124" t="str">
        <f ca="1">Sprache!$A$111</f>
        <v>Комплект (Л + П)</v>
      </c>
      <c r="AM543" s="187" t="s">
        <v>25</v>
      </c>
      <c r="AN543" s="187" t="str">
        <f ca="1">Sprache!$A$131</f>
        <v>Пружина, черная, двусторонняя</v>
      </c>
      <c r="AO543" s="187" t="s">
        <v>25</v>
      </c>
      <c r="AP543" s="187" t="s">
        <v>25</v>
      </c>
      <c r="AQ543" s="187">
        <f>Limits!$K$9</f>
        <v>200</v>
      </c>
      <c r="AR543" s="124">
        <v>1200</v>
      </c>
      <c r="AS543" s="187"/>
      <c r="AT543" s="124"/>
      <c r="AV543"/>
      <c r="AX543" s="10"/>
      <c r="AY543" s="11"/>
      <c r="AZ543" s="2"/>
      <c r="BC543"/>
    </row>
    <row r="544" spans="1:55" hidden="1" x14ac:dyDescent="0.25">
      <c r="A544" s="12" t="str">
        <f ca="1">IF(F544+G544+H544+I544+J544+D544+E544=3,IF(Tabelle2[[#This Row],[Kappe Weiß]]=Limits!$R$29,1,""),"")</f>
        <v/>
      </c>
      <c r="B544" s="12" t="str">
        <f ca="1">IF(G544+H544+I544+J544+E544+F544=2,IF(Tabelle2[[#This Row],[Kappe Weiß]]=Limits!$R$29,1,""),"")</f>
        <v/>
      </c>
      <c r="C544" s="292">
        <v>0</v>
      </c>
      <c r="D544" s="171">
        <f>IF(Limits!$P$6=TRUE,1,0)</f>
        <v>0</v>
      </c>
      <c r="E544" s="172">
        <f>IF(Daten!$P544+Daten!$Q544+Daten!$S544=3,1,0)</f>
        <v>0</v>
      </c>
      <c r="F544" s="173">
        <f ca="1">IF(AND(Limits!$Q$21=TRUE,Daten!O544=1)=TRUE,1,0)</f>
        <v>1</v>
      </c>
      <c r="G544" s="174">
        <f ca="1">IF(AND(Limits!$Q$25=TRUE,Daten!N544=1)=TRUE,1,0)</f>
        <v>0</v>
      </c>
      <c r="H544" s="174">
        <f ca="1">IF(AND(Limits!$Q$24=TRUE,Daten!M544=1)=TRUE,1,0)</f>
        <v>0</v>
      </c>
      <c r="I544" s="174">
        <f ca="1">IF(AND(Limits!$Q$23=TRUE,Daten!L544=1)=TRUE,1,0)</f>
        <v>0</v>
      </c>
      <c r="J544" s="174">
        <f ca="1">IF(AND(Limits!$Q$22=TRUE,Daten!K544=1)=TRUE,1,0)</f>
        <v>0</v>
      </c>
      <c r="K544" s="188">
        <f ca="1">IF(Daten!$V544=13,1,0)</f>
        <v>0</v>
      </c>
      <c r="L544" s="189">
        <f ca="1">IF(Daten!$V544&lt;&gt;Daten!$W544,1,IF(Daten!$V544=14,1,0))</f>
        <v>0</v>
      </c>
      <c r="M544" s="189">
        <f ca="1">IF(Daten!$V544&lt;&gt;Daten!$W544,1,IF(Daten!$V544=16,1,0))</f>
        <v>0</v>
      </c>
      <c r="N544" s="189">
        <f ca="1">IF(Daten!$W544=17,1,0)</f>
        <v>0</v>
      </c>
      <c r="O544" s="190">
        <f ca="1">IF(Daten!$X544=Sprache!$A$70,1,0)</f>
        <v>1</v>
      </c>
      <c r="P544" s="198">
        <f>IF(AND(Daten!$AQ544&lt;=KINVARO!$AW$3,Daten!$AR544&gt;=KINVARO!$AW$3)=TRUE,1,0)</f>
        <v>1</v>
      </c>
      <c r="Q544" s="199">
        <f>IF(AND(Daten!$AA544&lt;=KINVARO!$AW$4,Daten!$AB544&gt;=KINVARO!$AW$4)=TRUE,1,0)</f>
        <v>0</v>
      </c>
      <c r="R544" s="199"/>
      <c r="S544" s="199">
        <f>IF(AND(Daten!$AD544&lt;=Limits!$I$70,Daten!$AE544&gt;=Limits!$I$70)=TRUE,1,0)</f>
        <v>0</v>
      </c>
      <c r="T544" s="200">
        <f ca="1">IF(Daten!$Y544=Sprache!$A$135,1,0)</f>
        <v>0</v>
      </c>
      <c r="U544" s="201" t="str">
        <f ca="1">Sprache!$A$68</f>
        <v>T-65 Поворотный подъемник</v>
      </c>
      <c r="V544" s="202" t="str">
        <f ca="1">Sprache!$A$74</f>
        <v>var</v>
      </c>
      <c r="W544" s="200" t="str">
        <f ca="1">Sprache!$A$74</f>
        <v>var</v>
      </c>
      <c r="X544" s="203" t="str">
        <f ca="1">Sprache!$A$70</f>
        <v>соединение с древесиной</v>
      </c>
      <c r="Y544" s="187" t="str">
        <f ca="1">Sprache!$A$136</f>
        <v>nein</v>
      </c>
      <c r="Z544" s="203" t="str">
        <f ca="1">Sprache!$A$79</f>
        <v>Створка</v>
      </c>
      <c r="AA544" s="203">
        <v>350</v>
      </c>
      <c r="AB544" s="201">
        <v>399</v>
      </c>
      <c r="AC544" s="203"/>
      <c r="AD544" s="204">
        <v>1</v>
      </c>
      <c r="AE544" s="205">
        <v>2.9</v>
      </c>
      <c r="AF544" s="266" t="str">
        <f>MID(Tabelle2[[#This Row],[bnr full]],1,4)</f>
        <v>F151</v>
      </c>
      <c r="AG544" s="267" t="str">
        <f>MID(Tabelle2[[#This Row],[bnr full]],5,3)</f>
        <v>147</v>
      </c>
      <c r="AH544" s="268" t="str">
        <f>MID(Tabelle2[[#This Row],[bnr full]],8,3)</f>
        <v>682</v>
      </c>
      <c r="AI544" s="267" t="str">
        <f>MID(Tabelle2[[#This Row],[bnr full]],11,3)</f>
        <v>201</v>
      </c>
      <c r="AJ544" s="253" t="str">
        <f>MID(Tabelle2[[#This Row],[bnr full]],11,3)</f>
        <v>201</v>
      </c>
      <c r="AK544" s="206" t="s">
        <v>804</v>
      </c>
      <c r="AL544" s="201" t="str">
        <f ca="1">Sprache!$A$111</f>
        <v>Комплект (Л + П)</v>
      </c>
      <c r="AM544" s="203" t="s">
        <v>25</v>
      </c>
      <c r="AN544" s="203" t="str">
        <f ca="1">Sprache!$A$130</f>
        <v>Пружина, желтая, двусторонняя</v>
      </c>
      <c r="AO544" s="187" t="s">
        <v>25</v>
      </c>
      <c r="AP544" s="187" t="s">
        <v>25</v>
      </c>
      <c r="AQ544" s="203">
        <f>Limits!$K$9</f>
        <v>200</v>
      </c>
      <c r="AR544" s="201">
        <v>1200</v>
      </c>
      <c r="AS544" s="187"/>
      <c r="AT544" s="124"/>
      <c r="AV544"/>
      <c r="AX544" s="10"/>
      <c r="AY544" s="11"/>
      <c r="AZ544" s="2"/>
      <c r="BC544"/>
    </row>
    <row r="545" spans="1:55" hidden="1" x14ac:dyDescent="0.25">
      <c r="A545" s="12" t="str">
        <f ca="1">IF(F545+G545+H545+I545+J545+D545+E545=3,IF(Tabelle2[[#This Row],[Kappe Weiß]]=Limits!$R$29,1,""),"")</f>
        <v/>
      </c>
      <c r="B545" s="12" t="str">
        <f ca="1">IF(G545+H545+I545+J545+E545+F545=2,IF(Tabelle2[[#This Row],[Kappe Weiß]]=Limits!$R$29,1,""),"")</f>
        <v/>
      </c>
      <c r="C545" s="291">
        <v>0</v>
      </c>
      <c r="D545" s="171">
        <f>IF(Limits!$P$6=TRUE,1,0)</f>
        <v>0</v>
      </c>
      <c r="E545" s="172">
        <f>IF(Daten!$P545+Daten!$Q545+Daten!$S545=3,1,0)</f>
        <v>0</v>
      </c>
      <c r="F545" s="173">
        <f ca="1">IF(AND(Limits!$Q$21=TRUE,Daten!O545=1)=TRUE,1,0)</f>
        <v>1</v>
      </c>
      <c r="G545" s="174">
        <f ca="1">IF(AND(Limits!$Q$25=TRUE,Daten!N545=1)=TRUE,1,0)</f>
        <v>0</v>
      </c>
      <c r="H545" s="174">
        <f ca="1">IF(AND(Limits!$Q$24=TRUE,Daten!M545=1)=TRUE,1,0)</f>
        <v>0</v>
      </c>
      <c r="I545" s="174">
        <f ca="1">IF(AND(Limits!$Q$23=TRUE,Daten!L545=1)=TRUE,1,0)</f>
        <v>0</v>
      </c>
      <c r="J545" s="174">
        <f ca="1">IF(AND(Limits!$Q$22=TRUE,Daten!K545=1)=TRUE,1,0)</f>
        <v>0</v>
      </c>
      <c r="K545" s="188">
        <f ca="1">IF(Daten!$V545=13,1,0)</f>
        <v>0</v>
      </c>
      <c r="L545" s="189">
        <f ca="1">IF(Daten!$V545&lt;&gt;Daten!$W545,1,IF(Daten!$V545=14,1,0))</f>
        <v>0</v>
      </c>
      <c r="M545" s="189">
        <f ca="1">IF(Daten!$V545&lt;&gt;Daten!$W545,1,IF(Daten!$V545=16,1,0))</f>
        <v>0</v>
      </c>
      <c r="N545" s="189">
        <f ca="1">IF(Daten!$W545=17,1,0)</f>
        <v>0</v>
      </c>
      <c r="O545" s="190">
        <f ca="1">IF(Daten!$X545=Sprache!$A$70,1,0)</f>
        <v>1</v>
      </c>
      <c r="P545" s="191">
        <f>IF(AND(Daten!$AQ545&lt;=KINVARO!$AW$3,Daten!$AR545&gt;=KINVARO!$AW$3)=TRUE,1,0)</f>
        <v>1</v>
      </c>
      <c r="Q545" s="192">
        <f>IF(AND(Daten!$AA545&lt;=KINVARO!$AW$4,Daten!$AB545&gt;=KINVARO!$AW$4)=TRUE,1,0)</f>
        <v>0</v>
      </c>
      <c r="R545" s="192"/>
      <c r="S545" s="192">
        <f>IF(AND(Daten!$AD545&lt;=Limits!$I$70,Daten!$AE545&gt;=Limits!$I$70)=TRUE,1,0)</f>
        <v>0</v>
      </c>
      <c r="T545" s="193">
        <f ca="1">IF(Daten!$Y545=Sprache!$A$135,1,0)</f>
        <v>0</v>
      </c>
      <c r="U545" s="124" t="str">
        <f ca="1">Sprache!$A$68</f>
        <v>T-65 Поворотный подъемник</v>
      </c>
      <c r="V545" s="194" t="str">
        <f ca="1">Sprache!$A$74</f>
        <v>var</v>
      </c>
      <c r="W545" s="193" t="str">
        <f ca="1">Sprache!$A$74</f>
        <v>var</v>
      </c>
      <c r="X545" s="187" t="str">
        <f ca="1">Sprache!$A$70</f>
        <v>соединение с древесиной</v>
      </c>
      <c r="Y545" s="187" t="str">
        <f ca="1">Sprache!$A$136</f>
        <v>nein</v>
      </c>
      <c r="Z545" s="187" t="str">
        <f ca="1">Sprache!$A$79</f>
        <v>Створка</v>
      </c>
      <c r="AA545" s="187">
        <v>350</v>
      </c>
      <c r="AB545" s="124">
        <v>399</v>
      </c>
      <c r="AC545" s="187"/>
      <c r="AD545" s="195">
        <v>1.7</v>
      </c>
      <c r="AE545" s="196">
        <v>5.4</v>
      </c>
      <c r="AF545" s="263" t="str">
        <f>MID(Tabelle2[[#This Row],[bnr full]],1,4)</f>
        <v>F151</v>
      </c>
      <c r="AG545" s="264" t="str">
        <f>MID(Tabelle2[[#This Row],[bnr full]],5,3)</f>
        <v>147</v>
      </c>
      <c r="AH545" s="265" t="str">
        <f>MID(Tabelle2[[#This Row],[bnr full]],8,3)</f>
        <v>682</v>
      </c>
      <c r="AI545" s="264" t="str">
        <f>MID(Tabelle2[[#This Row],[bnr full]],11,3)</f>
        <v>201</v>
      </c>
      <c r="AJ545" s="252" t="str">
        <f>MID(Tabelle2[[#This Row],[bnr full]],11,3)</f>
        <v>201</v>
      </c>
      <c r="AK545" s="197" t="s">
        <v>804</v>
      </c>
      <c r="AL545" s="124" t="str">
        <f ca="1">Sprache!$A$111</f>
        <v>Комплект (Л + П)</v>
      </c>
      <c r="AM545" s="187" t="s">
        <v>25</v>
      </c>
      <c r="AN545" s="187" t="str">
        <f ca="1">Sprache!$A$131</f>
        <v>Пружина, черная, двусторонняя</v>
      </c>
      <c r="AO545" s="187" t="s">
        <v>25</v>
      </c>
      <c r="AP545" s="187" t="s">
        <v>25</v>
      </c>
      <c r="AQ545" s="187">
        <f>Limits!$K$9</f>
        <v>200</v>
      </c>
      <c r="AR545" s="124">
        <v>1200</v>
      </c>
      <c r="AS545" s="187"/>
      <c r="AT545" s="124"/>
      <c r="AV545"/>
      <c r="AX545" s="10"/>
      <c r="AY545" s="11"/>
      <c r="AZ545" s="2"/>
      <c r="BC545"/>
    </row>
    <row r="546" spans="1:55" hidden="1" x14ac:dyDescent="0.25">
      <c r="A546" s="12" t="str">
        <f ca="1">IF(F546+G546+H546+I546+J546+D546+E546=3,IF(Tabelle2[[#This Row],[Kappe Weiß]]=Limits!$R$29,1,""),"")</f>
        <v/>
      </c>
      <c r="B546" s="12" t="str">
        <f ca="1">IF(G546+H546+I546+J546+E546+F546=2,IF(Tabelle2[[#This Row],[Kappe Weiß]]=Limits!$R$29,1,""),"")</f>
        <v/>
      </c>
      <c r="C546" s="291">
        <v>0</v>
      </c>
      <c r="D546" s="171">
        <f>IF(Limits!$P$6=TRUE,1,0)</f>
        <v>0</v>
      </c>
      <c r="E546" s="172">
        <f>IF(Daten!$P546+Daten!$Q546+Daten!$S546=3,1,0)</f>
        <v>0</v>
      </c>
      <c r="F546" s="173">
        <f ca="1">IF(AND(Limits!$Q$21=TRUE,Daten!O546=1)=TRUE,1,0)</f>
        <v>0</v>
      </c>
      <c r="G546" s="174">
        <f>IF(AND(Limits!$Q$25=TRUE,Daten!N546=1)=TRUE,1,0)</f>
        <v>0</v>
      </c>
      <c r="H546" s="174">
        <f>IF(AND(Limits!$Q$24=TRUE,Daten!M546=1)=TRUE,1,0)</f>
        <v>0</v>
      </c>
      <c r="I546" s="174">
        <f>IF(AND(Limits!$Q$23=TRUE,Daten!L546=1)=TRUE,1,0)</f>
        <v>0</v>
      </c>
      <c r="J546" s="174">
        <f>IF(AND(Limits!$Q$22=TRUE,Daten!K546=1)=TRUE,1,0)</f>
        <v>0</v>
      </c>
      <c r="K546" s="188">
        <f>IF(Daten!$V546=13,1,0)</f>
        <v>1</v>
      </c>
      <c r="L546" s="189">
        <f>IF(Daten!$V546&lt;&gt;Daten!$W546,1,IF(Daten!$V546=14,1,0))</f>
        <v>0</v>
      </c>
      <c r="M546" s="189">
        <f>IF(Daten!$V546&lt;&gt;Daten!$W546,1,IF(Daten!$V546=16,1,0))</f>
        <v>0</v>
      </c>
      <c r="N546" s="189">
        <f>IF(Daten!$W546=17,1,0)</f>
        <v>0</v>
      </c>
      <c r="O546" s="190">
        <f ca="1">IF(Daten!$X546=Sprache!$A$70,1,0)</f>
        <v>0</v>
      </c>
      <c r="P546" s="191">
        <f>IF(AND(Daten!$AQ546&lt;=KINVARO!$AW$3,Daten!$AR546&gt;=KINVARO!$AW$3)=TRUE,1,0)</f>
        <v>1</v>
      </c>
      <c r="Q546" s="192">
        <f>IF(AND(Daten!$AA546&lt;=KINVARO!$AW$4,Daten!$AB546&gt;=KINVARO!$AW$4)=TRUE,1,0)</f>
        <v>0</v>
      </c>
      <c r="R546" s="192"/>
      <c r="S546" s="192">
        <f>IF(AND(Daten!$AD546&lt;=Limits!$I$70,Daten!$AE546&gt;=Limits!$I$70)=TRUE,1,0)</f>
        <v>0</v>
      </c>
      <c r="T546" s="193">
        <f ca="1">IF(Daten!$Y546=Sprache!$A$135,1,0)</f>
        <v>0</v>
      </c>
      <c r="U546" s="124" t="str">
        <f ca="1">Sprache!$A$68</f>
        <v>T-65 Поворотный подъемник</v>
      </c>
      <c r="V546" s="194">
        <v>13</v>
      </c>
      <c r="W546" s="193">
        <v>13</v>
      </c>
      <c r="X546" s="187" t="str">
        <f ca="1">Sprache!$A$141</f>
        <v>Alu</v>
      </c>
      <c r="Y546" s="187" t="str">
        <f ca="1">Sprache!$A$136</f>
        <v>nein</v>
      </c>
      <c r="Z546" s="187" t="str">
        <f ca="1">Sprache!$A$79</f>
        <v>Створка</v>
      </c>
      <c r="AA546" s="187">
        <v>350</v>
      </c>
      <c r="AB546" s="124">
        <v>399</v>
      </c>
      <c r="AC546" s="187"/>
      <c r="AD546" s="195">
        <v>1</v>
      </c>
      <c r="AE546" s="196">
        <v>2.9</v>
      </c>
      <c r="AF546" s="263" t="str">
        <f>MID(Tabelle2[[#This Row],[bnr full]],1,4)</f>
        <v>F151</v>
      </c>
      <c r="AG546" s="264" t="str">
        <f>MID(Tabelle2[[#This Row],[bnr full]],5,3)</f>
        <v>147</v>
      </c>
      <c r="AH546" s="265" t="str">
        <f>MID(Tabelle2[[#This Row],[bnr full]],8,3)</f>
        <v>678</v>
      </c>
      <c r="AI546" s="264" t="str">
        <f>MID(Tabelle2[[#This Row],[bnr full]],11,3)</f>
        <v>201</v>
      </c>
      <c r="AJ546" s="252" t="str">
        <f>MID(Tabelle2[[#This Row],[bnr full]],11,3)</f>
        <v>201</v>
      </c>
      <c r="AK546" s="197" t="s">
        <v>805</v>
      </c>
      <c r="AL546" s="124" t="str">
        <f ca="1">Sprache!$A$111</f>
        <v>Комплект (Л + П)</v>
      </c>
      <c r="AM546" s="187" t="s">
        <v>25</v>
      </c>
      <c r="AN546" s="187" t="str">
        <f ca="1">Sprache!$A$130</f>
        <v>Пружина, желтая, двусторонняя</v>
      </c>
      <c r="AO546" s="187" t="s">
        <v>25</v>
      </c>
      <c r="AP546" s="187" t="s">
        <v>25</v>
      </c>
      <c r="AQ546" s="187">
        <f>Limits!$K$9</f>
        <v>200</v>
      </c>
      <c r="AR546" s="124">
        <v>1200</v>
      </c>
      <c r="AS546" s="187"/>
      <c r="AT546" s="124"/>
      <c r="AV546"/>
      <c r="AX546" s="10"/>
      <c r="AY546" s="11"/>
      <c r="AZ546" s="2"/>
      <c r="BC546"/>
    </row>
    <row r="547" spans="1:55" hidden="1" x14ac:dyDescent="0.25">
      <c r="A547" s="12" t="str">
        <f ca="1">IF(F547+G547+H547+I547+J547+D547+E547=3,IF(Tabelle2[[#This Row],[Kappe Weiß]]=Limits!$R$29,1,""),"")</f>
        <v/>
      </c>
      <c r="B547" s="12" t="str">
        <f ca="1">IF(G547+H547+I547+J547+E547+F547=2,IF(Tabelle2[[#This Row],[Kappe Weiß]]=Limits!$R$29,1,""),"")</f>
        <v/>
      </c>
      <c r="C547" s="291">
        <v>0</v>
      </c>
      <c r="D547" s="171">
        <f>IF(Limits!$P$6=TRUE,1,0)</f>
        <v>0</v>
      </c>
      <c r="E547" s="172">
        <f>IF(Daten!$P547+Daten!$Q547+Daten!$S547=3,1,0)</f>
        <v>0</v>
      </c>
      <c r="F547" s="173">
        <f ca="1">IF(AND(Limits!$Q$21=TRUE,Daten!O547=1)=TRUE,1,0)</f>
        <v>0</v>
      </c>
      <c r="G547" s="174">
        <f>IF(AND(Limits!$Q$25=TRUE,Daten!N547=1)=TRUE,1,0)</f>
        <v>0</v>
      </c>
      <c r="H547" s="174">
        <f>IF(AND(Limits!$Q$24=TRUE,Daten!M547=1)=TRUE,1,0)</f>
        <v>0</v>
      </c>
      <c r="I547" s="174">
        <f>IF(AND(Limits!$Q$23=TRUE,Daten!L547=1)=TRUE,1,0)</f>
        <v>0</v>
      </c>
      <c r="J547" s="174">
        <f>IF(AND(Limits!$Q$22=TRUE,Daten!K547=1)=TRUE,1,0)</f>
        <v>0</v>
      </c>
      <c r="K547" s="188">
        <f>IF(Daten!$V547=13,1,0)</f>
        <v>1</v>
      </c>
      <c r="L547" s="189">
        <f>IF(Daten!$V547&lt;&gt;Daten!$W547,1,IF(Daten!$V547=14,1,0))</f>
        <v>0</v>
      </c>
      <c r="M547" s="189">
        <f>IF(Daten!$V547&lt;&gt;Daten!$W547,1,IF(Daten!$V547=16,1,0))</f>
        <v>0</v>
      </c>
      <c r="N547" s="189">
        <f>IF(Daten!$W547=17,1,0)</f>
        <v>0</v>
      </c>
      <c r="O547" s="190">
        <f ca="1">IF(Daten!$X547=Sprache!$A$70,1,0)</f>
        <v>0</v>
      </c>
      <c r="P547" s="191">
        <f>IF(AND(Daten!$AQ547&lt;=KINVARO!$AW$3,Daten!$AR547&gt;=KINVARO!$AW$3)=TRUE,1,0)</f>
        <v>1</v>
      </c>
      <c r="Q547" s="192">
        <f>IF(AND(Daten!$AA547&lt;=KINVARO!$AW$4,Daten!$AB547&gt;=KINVARO!$AW$4)=TRUE,1,0)</f>
        <v>0</v>
      </c>
      <c r="R547" s="192"/>
      <c r="S547" s="192">
        <f>IF(AND(Daten!$AD547&lt;=Limits!$I$70,Daten!$AE547&gt;=Limits!$I$70)=TRUE,1,0)</f>
        <v>0</v>
      </c>
      <c r="T547" s="193">
        <f ca="1">IF(Daten!$Y547=Sprache!$A$135,1,0)</f>
        <v>0</v>
      </c>
      <c r="U547" s="124" t="str">
        <f ca="1">Sprache!$A$68</f>
        <v>T-65 Поворотный подъемник</v>
      </c>
      <c r="V547" s="194">
        <v>13</v>
      </c>
      <c r="W547" s="193">
        <v>13</v>
      </c>
      <c r="X547" s="187" t="str">
        <f ca="1">Sprache!$A$141</f>
        <v>Alu</v>
      </c>
      <c r="Y547" s="187" t="str">
        <f ca="1">Sprache!$A$136</f>
        <v>nein</v>
      </c>
      <c r="Z547" s="187" t="str">
        <f ca="1">Sprache!$A$79</f>
        <v>Створка</v>
      </c>
      <c r="AA547" s="187">
        <v>350</v>
      </c>
      <c r="AB547" s="124">
        <v>399</v>
      </c>
      <c r="AC547" s="187"/>
      <c r="AD547" s="195">
        <v>1.7</v>
      </c>
      <c r="AE547" s="196">
        <v>5.4</v>
      </c>
      <c r="AF547" s="263" t="str">
        <f>MID(Tabelle2[[#This Row],[bnr full]],1,4)</f>
        <v>F151</v>
      </c>
      <c r="AG547" s="264" t="str">
        <f>MID(Tabelle2[[#This Row],[bnr full]],5,3)</f>
        <v>147</v>
      </c>
      <c r="AH547" s="265" t="str">
        <f>MID(Tabelle2[[#This Row],[bnr full]],8,3)</f>
        <v>678</v>
      </c>
      <c r="AI547" s="264" t="str">
        <f>MID(Tabelle2[[#This Row],[bnr full]],11,3)</f>
        <v>201</v>
      </c>
      <c r="AJ547" s="252" t="str">
        <f>MID(Tabelle2[[#This Row],[bnr full]],11,3)</f>
        <v>201</v>
      </c>
      <c r="AK547" s="197" t="s">
        <v>805</v>
      </c>
      <c r="AL547" s="124" t="str">
        <f ca="1">Sprache!$A$111</f>
        <v>Комплект (Л + П)</v>
      </c>
      <c r="AM547" s="187" t="s">
        <v>25</v>
      </c>
      <c r="AN547" s="187" t="str">
        <f ca="1">Sprache!$A$131</f>
        <v>Пружина, черная, двусторонняя</v>
      </c>
      <c r="AO547" s="187" t="s">
        <v>25</v>
      </c>
      <c r="AP547" s="187" t="s">
        <v>25</v>
      </c>
      <c r="AQ547" s="187">
        <f>Limits!$K$9</f>
        <v>200</v>
      </c>
      <c r="AR547" s="124">
        <v>1200</v>
      </c>
      <c r="AS547" s="187"/>
      <c r="AT547" s="124"/>
      <c r="AV547"/>
      <c r="AX547" s="10"/>
      <c r="AY547" s="11"/>
      <c r="AZ547" s="2"/>
      <c r="BC547"/>
    </row>
    <row r="548" spans="1:55" hidden="1" x14ac:dyDescent="0.25">
      <c r="A548" s="12" t="str">
        <f ca="1">IF(F548+G548+H548+I548+J548+D548+E548=3,IF(Tabelle2[[#This Row],[Kappe Weiß]]=Limits!$R$29,1,""),"")</f>
        <v/>
      </c>
      <c r="B548" s="12" t="str">
        <f ca="1">IF(G548+H548+I548+J548+E548+F548=2,IF(Tabelle2[[#This Row],[Kappe Weiß]]=Limits!$R$29,1,""),"")</f>
        <v/>
      </c>
      <c r="C548" s="291">
        <v>0</v>
      </c>
      <c r="D548" s="171">
        <f>IF(Limits!$P$6=TRUE,1,0)</f>
        <v>0</v>
      </c>
      <c r="E548" s="172">
        <f>IF(Daten!$P548+Daten!$Q548+Daten!$S548=3,1,0)</f>
        <v>0</v>
      </c>
      <c r="F548" s="173">
        <f ca="1">IF(AND(Limits!$Q$21=TRUE,Daten!O548=1)=TRUE,1,0)</f>
        <v>0</v>
      </c>
      <c r="G548" s="174">
        <f>IF(AND(Limits!$Q$25=TRUE,Daten!N548=1)=TRUE,1,0)</f>
        <v>0</v>
      </c>
      <c r="H548" s="174">
        <f>IF(AND(Limits!$Q$24=TRUE,Daten!M548=1)=TRUE,1,0)</f>
        <v>0</v>
      </c>
      <c r="I548" s="174">
        <f>IF(AND(Limits!$Q$23=TRUE,Daten!L548=1)=TRUE,1,0)</f>
        <v>0</v>
      </c>
      <c r="J548" s="174">
        <f>IF(AND(Limits!$Q$22=TRUE,Daten!K548=1)=TRUE,1,0)</f>
        <v>0</v>
      </c>
      <c r="K548" s="188">
        <f>IF(Daten!$V548=13,1,0)</f>
        <v>0</v>
      </c>
      <c r="L548" s="189">
        <f>IF(Daten!$V548&lt;&gt;Daten!$W548,1,IF(Daten!$V548=14,1,0))</f>
        <v>1</v>
      </c>
      <c r="M548" s="189">
        <f>IF(Daten!$V548&lt;&gt;Daten!$W548,1,IF(Daten!$V548=16,1,0))</f>
        <v>0</v>
      </c>
      <c r="N548" s="189">
        <f>IF(Daten!$W548=17,1,0)</f>
        <v>0</v>
      </c>
      <c r="O548" s="190">
        <f ca="1">IF(Daten!$X548=Sprache!$A$70,1,0)</f>
        <v>0</v>
      </c>
      <c r="P548" s="191">
        <f>IF(AND(Daten!$AQ548&lt;=KINVARO!$AW$3,Daten!$AR548&gt;=KINVARO!$AW$3)=TRUE,1,0)</f>
        <v>1</v>
      </c>
      <c r="Q548" s="192">
        <f>IF(AND(Daten!$AA548&lt;=KINVARO!$AW$4,Daten!$AB548&gt;=KINVARO!$AW$4)=TRUE,1,0)</f>
        <v>0</v>
      </c>
      <c r="R548" s="192"/>
      <c r="S548" s="192">
        <f>IF(AND(Daten!$AD548&lt;=Limits!$I$70,Daten!$AE548&gt;=Limits!$I$70)=TRUE,1,0)</f>
        <v>0</v>
      </c>
      <c r="T548" s="193">
        <f ca="1">IF(Daten!$Y548=Sprache!$A$135,1,0)</f>
        <v>0</v>
      </c>
      <c r="U548" s="124" t="str">
        <f ca="1">Sprache!$A$68</f>
        <v>T-65 Поворотный подъемник</v>
      </c>
      <c r="V548" s="194">
        <v>14</v>
      </c>
      <c r="W548" s="193">
        <v>14</v>
      </c>
      <c r="X548" s="187" t="str">
        <f ca="1">Sprache!$A$141</f>
        <v>Alu</v>
      </c>
      <c r="Y548" s="187" t="str">
        <f ca="1">Sprache!$A$136</f>
        <v>nein</v>
      </c>
      <c r="Z548" s="187" t="str">
        <f ca="1">Sprache!$A$79</f>
        <v>Створка</v>
      </c>
      <c r="AA548" s="187">
        <v>350</v>
      </c>
      <c r="AB548" s="124">
        <v>399</v>
      </c>
      <c r="AC548" s="187"/>
      <c r="AD548" s="195">
        <v>1</v>
      </c>
      <c r="AE548" s="196">
        <v>2.9</v>
      </c>
      <c r="AF548" s="263" t="str">
        <f>MID(Tabelle2[[#This Row],[bnr full]],1,4)</f>
        <v>F151</v>
      </c>
      <c r="AG548" s="264" t="str">
        <f>MID(Tabelle2[[#This Row],[bnr full]],5,3)</f>
        <v>147</v>
      </c>
      <c r="AH548" s="265" t="str">
        <f>MID(Tabelle2[[#This Row],[bnr full]],8,3)</f>
        <v>679</v>
      </c>
      <c r="AI548" s="264" t="str">
        <f>MID(Tabelle2[[#This Row],[bnr full]],11,3)</f>
        <v>201</v>
      </c>
      <c r="AJ548" s="252" t="str">
        <f>MID(Tabelle2[[#This Row],[bnr full]],11,3)</f>
        <v>201</v>
      </c>
      <c r="AK548" s="197" t="s">
        <v>806</v>
      </c>
      <c r="AL548" s="124" t="str">
        <f ca="1">Sprache!$A$111</f>
        <v>Комплект (Л + П)</v>
      </c>
      <c r="AM548" s="187" t="s">
        <v>25</v>
      </c>
      <c r="AN548" s="187" t="str">
        <f ca="1">Sprache!$A$130</f>
        <v>Пружина, желтая, двусторонняя</v>
      </c>
      <c r="AO548" s="187" t="s">
        <v>25</v>
      </c>
      <c r="AP548" s="187" t="s">
        <v>25</v>
      </c>
      <c r="AQ548" s="187">
        <f>Limits!$K$9</f>
        <v>200</v>
      </c>
      <c r="AR548" s="124">
        <v>1200</v>
      </c>
      <c r="AS548" s="187"/>
      <c r="AT548" s="124"/>
      <c r="AV548"/>
      <c r="AX548" s="10"/>
      <c r="AY548" s="11"/>
      <c r="AZ548" s="2"/>
      <c r="BC548"/>
    </row>
    <row r="549" spans="1:55" hidden="1" x14ac:dyDescent="0.25">
      <c r="A549" s="12" t="str">
        <f ca="1">IF(F549+G549+H549+I549+J549+D549+E549=3,IF(Tabelle2[[#This Row],[Kappe Weiß]]=Limits!$R$29,1,""),"")</f>
        <v/>
      </c>
      <c r="B549" s="12" t="str">
        <f ca="1">IF(G549+H549+I549+J549+E549+F549=2,IF(Tabelle2[[#This Row],[Kappe Weiß]]=Limits!$R$29,1,""),"")</f>
        <v/>
      </c>
      <c r="C549" s="291">
        <v>0</v>
      </c>
      <c r="D549" s="171">
        <f>IF(Limits!$P$6=TRUE,1,0)</f>
        <v>0</v>
      </c>
      <c r="E549" s="172">
        <f>IF(Daten!$P549+Daten!$Q549+Daten!$S549=3,1,0)</f>
        <v>0</v>
      </c>
      <c r="F549" s="173">
        <f ca="1">IF(AND(Limits!$Q$21=TRUE,Daten!O549=1)=TRUE,1,0)</f>
        <v>0</v>
      </c>
      <c r="G549" s="174">
        <f>IF(AND(Limits!$Q$25=TRUE,Daten!N549=1)=TRUE,1,0)</f>
        <v>0</v>
      </c>
      <c r="H549" s="174">
        <f>IF(AND(Limits!$Q$24=TRUE,Daten!M549=1)=TRUE,1,0)</f>
        <v>0</v>
      </c>
      <c r="I549" s="174">
        <f>IF(AND(Limits!$Q$23=TRUE,Daten!L549=1)=TRUE,1,0)</f>
        <v>0</v>
      </c>
      <c r="J549" s="174">
        <f>IF(AND(Limits!$Q$22=TRUE,Daten!K549=1)=TRUE,1,0)</f>
        <v>0</v>
      </c>
      <c r="K549" s="188">
        <f>IF(Daten!$V549=13,1,0)</f>
        <v>0</v>
      </c>
      <c r="L549" s="189">
        <f>IF(Daten!$V549&lt;&gt;Daten!$W549,1,IF(Daten!$V549=14,1,0))</f>
        <v>1</v>
      </c>
      <c r="M549" s="189">
        <f>IF(Daten!$V549&lt;&gt;Daten!$W549,1,IF(Daten!$V549=16,1,0))</f>
        <v>0</v>
      </c>
      <c r="N549" s="189">
        <f>IF(Daten!$W549=17,1,0)</f>
        <v>0</v>
      </c>
      <c r="O549" s="190">
        <f ca="1">IF(Daten!$X549=Sprache!$A$70,1,0)</f>
        <v>0</v>
      </c>
      <c r="P549" s="191">
        <f>IF(AND(Daten!$AQ549&lt;=KINVARO!$AW$3,Daten!$AR549&gt;=KINVARO!$AW$3)=TRUE,1,0)</f>
        <v>1</v>
      </c>
      <c r="Q549" s="192">
        <f>IF(AND(Daten!$AA549&lt;=KINVARO!$AW$4,Daten!$AB549&gt;=KINVARO!$AW$4)=TRUE,1,0)</f>
        <v>0</v>
      </c>
      <c r="R549" s="192"/>
      <c r="S549" s="192">
        <f>IF(AND(Daten!$AD549&lt;=Limits!$I$70,Daten!$AE549&gt;=Limits!$I$70)=TRUE,1,0)</f>
        <v>0</v>
      </c>
      <c r="T549" s="193">
        <f ca="1">IF(Daten!$Y549=Sprache!$A$135,1,0)</f>
        <v>0</v>
      </c>
      <c r="U549" s="124" t="str">
        <f ca="1">Sprache!$A$68</f>
        <v>T-65 Поворотный подъемник</v>
      </c>
      <c r="V549" s="194">
        <v>14</v>
      </c>
      <c r="W549" s="193">
        <v>14</v>
      </c>
      <c r="X549" s="187" t="str">
        <f ca="1">Sprache!$A$141</f>
        <v>Alu</v>
      </c>
      <c r="Y549" s="187" t="str">
        <f ca="1">Sprache!$A$136</f>
        <v>nein</v>
      </c>
      <c r="Z549" s="187" t="str">
        <f ca="1">Sprache!$A$79</f>
        <v>Створка</v>
      </c>
      <c r="AA549" s="187">
        <v>350</v>
      </c>
      <c r="AB549" s="124">
        <v>399</v>
      </c>
      <c r="AC549" s="187"/>
      <c r="AD549" s="195">
        <v>1.7</v>
      </c>
      <c r="AE549" s="196">
        <v>5.4</v>
      </c>
      <c r="AF549" s="263" t="str">
        <f>MID(Tabelle2[[#This Row],[bnr full]],1,4)</f>
        <v>F151</v>
      </c>
      <c r="AG549" s="264" t="str">
        <f>MID(Tabelle2[[#This Row],[bnr full]],5,3)</f>
        <v>147</v>
      </c>
      <c r="AH549" s="265" t="str">
        <f>MID(Tabelle2[[#This Row],[bnr full]],8,3)</f>
        <v>679</v>
      </c>
      <c r="AI549" s="264" t="str">
        <f>MID(Tabelle2[[#This Row],[bnr full]],11,3)</f>
        <v>201</v>
      </c>
      <c r="AJ549" s="252" t="str">
        <f>MID(Tabelle2[[#This Row],[bnr full]],11,3)</f>
        <v>201</v>
      </c>
      <c r="AK549" s="197" t="s">
        <v>806</v>
      </c>
      <c r="AL549" s="124" t="str">
        <f ca="1">Sprache!$A$111</f>
        <v>Комплект (Л + П)</v>
      </c>
      <c r="AM549" s="187" t="s">
        <v>25</v>
      </c>
      <c r="AN549" s="187" t="str">
        <f ca="1">Sprache!$A$131</f>
        <v>Пружина, черная, двусторонняя</v>
      </c>
      <c r="AO549" s="187" t="s">
        <v>25</v>
      </c>
      <c r="AP549" s="187" t="s">
        <v>25</v>
      </c>
      <c r="AQ549" s="187">
        <f>Limits!$K$9</f>
        <v>200</v>
      </c>
      <c r="AR549" s="124">
        <v>1200</v>
      </c>
      <c r="AS549" s="187"/>
      <c r="AT549" s="124"/>
      <c r="AV549"/>
      <c r="AX549" s="10"/>
      <c r="AY549" s="11"/>
      <c r="AZ549" s="2"/>
      <c r="BC549"/>
    </row>
    <row r="550" spans="1:55" hidden="1" x14ac:dyDescent="0.25">
      <c r="A550" s="12" t="str">
        <f ca="1">IF(F550+G550+H550+I550+J550+D550+E550=3,IF(Tabelle2[[#This Row],[Kappe Weiß]]=Limits!$R$29,1,""),"")</f>
        <v/>
      </c>
      <c r="B550" s="12" t="str">
        <f ca="1">IF(G550+H550+I550+J550+E550+F550=2,IF(Tabelle2[[#This Row],[Kappe Weiß]]=Limits!$R$29,1,""),"")</f>
        <v/>
      </c>
      <c r="C550" s="291">
        <v>0</v>
      </c>
      <c r="D550" s="171">
        <f>IF(Limits!$P$6=TRUE,1,0)</f>
        <v>0</v>
      </c>
      <c r="E550" s="172">
        <f>IF(Daten!$P550+Daten!$Q550+Daten!$S550=3,1,0)</f>
        <v>0</v>
      </c>
      <c r="F550" s="173">
        <f ca="1">IF(AND(Limits!$Q$21=TRUE,Daten!O550=1)=TRUE,1,0)</f>
        <v>0</v>
      </c>
      <c r="G550" s="174">
        <f>IF(AND(Limits!$Q$25=TRUE,Daten!N550=1)=TRUE,1,0)</f>
        <v>0</v>
      </c>
      <c r="H550" s="174">
        <f>IF(AND(Limits!$Q$24=TRUE,Daten!M550=1)=TRUE,1,0)</f>
        <v>0</v>
      </c>
      <c r="I550" s="174">
        <f>IF(AND(Limits!$Q$23=TRUE,Daten!L550=1)=TRUE,1,0)</f>
        <v>0</v>
      </c>
      <c r="J550" s="174">
        <f>IF(AND(Limits!$Q$22=TRUE,Daten!K550=1)=TRUE,1,0)</f>
        <v>0</v>
      </c>
      <c r="K550" s="188">
        <f>IF(Daten!$V550=13,1,0)</f>
        <v>0</v>
      </c>
      <c r="L550" s="189">
        <f>IF(Daten!$V550&lt;&gt;Daten!$W550,1,IF(Daten!$V550=14,1,0))</f>
        <v>0</v>
      </c>
      <c r="M550" s="189">
        <f>IF(Daten!$V550&lt;&gt;Daten!$W550,1,IF(Daten!$V550=16,1,0))</f>
        <v>1</v>
      </c>
      <c r="N550" s="189">
        <f>IF(Daten!$W550=17,1,0)</f>
        <v>0</v>
      </c>
      <c r="O550" s="190">
        <f ca="1">IF(Daten!$X550=Sprache!$A$70,1,0)</f>
        <v>0</v>
      </c>
      <c r="P550" s="191">
        <f>IF(AND(Daten!$AQ550&lt;=KINVARO!$AW$3,Daten!$AR550&gt;=KINVARO!$AW$3)=TRUE,1,0)</f>
        <v>1</v>
      </c>
      <c r="Q550" s="192">
        <f>IF(AND(Daten!$AA550&lt;=KINVARO!$AW$4,Daten!$AB550&gt;=KINVARO!$AW$4)=TRUE,1,0)</f>
        <v>0</v>
      </c>
      <c r="R550" s="192"/>
      <c r="S550" s="192">
        <f>IF(AND(Daten!$AD550&lt;=Limits!$I$70,Daten!$AE550&gt;=Limits!$I$70)=TRUE,1,0)</f>
        <v>0</v>
      </c>
      <c r="T550" s="193">
        <f ca="1">IF(Daten!$Y550=Sprache!$A$135,1,0)</f>
        <v>0</v>
      </c>
      <c r="U550" s="124" t="str">
        <f ca="1">Sprache!$A$68</f>
        <v>T-65 Поворотный подъемник</v>
      </c>
      <c r="V550" s="194">
        <v>16</v>
      </c>
      <c r="W550" s="193">
        <v>16</v>
      </c>
      <c r="X550" s="187" t="str">
        <f ca="1">Sprache!$A$141</f>
        <v>Alu</v>
      </c>
      <c r="Y550" s="187" t="str">
        <f ca="1">Sprache!$A$136</f>
        <v>nein</v>
      </c>
      <c r="Z550" s="187" t="str">
        <f ca="1">Sprache!$A$79</f>
        <v>Створка</v>
      </c>
      <c r="AA550" s="187">
        <v>350</v>
      </c>
      <c r="AB550" s="124">
        <v>399</v>
      </c>
      <c r="AC550" s="187"/>
      <c r="AD550" s="195">
        <v>1</v>
      </c>
      <c r="AE550" s="196">
        <v>2.9</v>
      </c>
      <c r="AF550" s="263" t="str">
        <f>MID(Tabelle2[[#This Row],[bnr full]],1,4)</f>
        <v>F151</v>
      </c>
      <c r="AG550" s="264" t="str">
        <f>MID(Tabelle2[[#This Row],[bnr full]],5,3)</f>
        <v>147</v>
      </c>
      <c r="AH550" s="265" t="str">
        <f>MID(Tabelle2[[#This Row],[bnr full]],8,3)</f>
        <v>680</v>
      </c>
      <c r="AI550" s="264" t="str">
        <f>MID(Tabelle2[[#This Row],[bnr full]],11,3)</f>
        <v>201</v>
      </c>
      <c r="AJ550" s="252" t="str">
        <f>MID(Tabelle2[[#This Row],[bnr full]],11,3)</f>
        <v>201</v>
      </c>
      <c r="AK550" s="197" t="s">
        <v>807</v>
      </c>
      <c r="AL550" s="124" t="str">
        <f ca="1">Sprache!$A$111</f>
        <v>Комплект (Л + П)</v>
      </c>
      <c r="AM550" s="187" t="s">
        <v>25</v>
      </c>
      <c r="AN550" s="187" t="str">
        <f ca="1">Sprache!$A$130</f>
        <v>Пружина, желтая, двусторонняя</v>
      </c>
      <c r="AO550" s="187" t="s">
        <v>25</v>
      </c>
      <c r="AP550" s="187" t="s">
        <v>25</v>
      </c>
      <c r="AQ550" s="187">
        <f>Limits!$K$9</f>
        <v>200</v>
      </c>
      <c r="AR550" s="124">
        <v>1200</v>
      </c>
      <c r="AS550" s="187"/>
      <c r="AT550" s="124"/>
      <c r="AV550"/>
      <c r="AX550" s="10"/>
      <c r="AY550" s="11"/>
      <c r="AZ550" s="2"/>
      <c r="BC550"/>
    </row>
    <row r="551" spans="1:55" hidden="1" x14ac:dyDescent="0.25">
      <c r="A551" s="12" t="str">
        <f ca="1">IF(F551+G551+H551+I551+J551+D551+E551=3,IF(Tabelle2[[#This Row],[Kappe Weiß]]=Limits!$R$29,1,""),"")</f>
        <v/>
      </c>
      <c r="B551" s="12" t="str">
        <f ca="1">IF(G551+H551+I551+J551+E551+F551=2,IF(Tabelle2[[#This Row],[Kappe Weiß]]=Limits!$R$29,1,""),"")</f>
        <v/>
      </c>
      <c r="C551" s="291">
        <v>0</v>
      </c>
      <c r="D551" s="171">
        <f>IF(Limits!$P$6=TRUE,1,0)</f>
        <v>0</v>
      </c>
      <c r="E551" s="172">
        <f>IF(Daten!$P551+Daten!$Q551+Daten!$S551=3,1,0)</f>
        <v>0</v>
      </c>
      <c r="F551" s="173">
        <f ca="1">IF(AND(Limits!$Q$21=TRUE,Daten!O551=1)=TRUE,1,0)</f>
        <v>0</v>
      </c>
      <c r="G551" s="174">
        <f>IF(AND(Limits!$Q$25=TRUE,Daten!N551=1)=TRUE,1,0)</f>
        <v>0</v>
      </c>
      <c r="H551" s="174">
        <f>IF(AND(Limits!$Q$24=TRUE,Daten!M551=1)=TRUE,1,0)</f>
        <v>0</v>
      </c>
      <c r="I551" s="174">
        <f>IF(AND(Limits!$Q$23=TRUE,Daten!L551=1)=TRUE,1,0)</f>
        <v>0</v>
      </c>
      <c r="J551" s="174">
        <f>IF(AND(Limits!$Q$22=TRUE,Daten!K551=1)=TRUE,1,0)</f>
        <v>0</v>
      </c>
      <c r="K551" s="188">
        <f>IF(Daten!$V551=13,1,0)</f>
        <v>0</v>
      </c>
      <c r="L551" s="189">
        <f>IF(Daten!$V551&lt;&gt;Daten!$W551,1,IF(Daten!$V551=14,1,0))</f>
        <v>0</v>
      </c>
      <c r="M551" s="189">
        <f>IF(Daten!$V551&lt;&gt;Daten!$W551,1,IF(Daten!$V551=16,1,0))</f>
        <v>1</v>
      </c>
      <c r="N551" s="189">
        <f>IF(Daten!$W551=17,1,0)</f>
        <v>0</v>
      </c>
      <c r="O551" s="190">
        <f ca="1">IF(Daten!$X551=Sprache!$A$70,1,0)</f>
        <v>0</v>
      </c>
      <c r="P551" s="191">
        <f>IF(AND(Daten!$AQ551&lt;=KINVARO!$AW$3,Daten!$AR551&gt;=KINVARO!$AW$3)=TRUE,1,0)</f>
        <v>1</v>
      </c>
      <c r="Q551" s="192">
        <f>IF(AND(Daten!$AA551&lt;=KINVARO!$AW$4,Daten!$AB551&gt;=KINVARO!$AW$4)=TRUE,1,0)</f>
        <v>0</v>
      </c>
      <c r="R551" s="192"/>
      <c r="S551" s="192">
        <f>IF(AND(Daten!$AD551&lt;=Limits!$I$70,Daten!$AE551&gt;=Limits!$I$70)=TRUE,1,0)</f>
        <v>0</v>
      </c>
      <c r="T551" s="193">
        <f ca="1">IF(Daten!$Y551=Sprache!$A$135,1,0)</f>
        <v>0</v>
      </c>
      <c r="U551" s="124" t="str">
        <f ca="1">Sprache!$A$68</f>
        <v>T-65 Поворотный подъемник</v>
      </c>
      <c r="V551" s="194">
        <v>16</v>
      </c>
      <c r="W551" s="193">
        <v>16</v>
      </c>
      <c r="X551" s="187" t="str">
        <f ca="1">Sprache!$A$141</f>
        <v>Alu</v>
      </c>
      <c r="Y551" s="187" t="str">
        <f ca="1">Sprache!$A$136</f>
        <v>nein</v>
      </c>
      <c r="Z551" s="187" t="str">
        <f ca="1">Sprache!$A$79</f>
        <v>Створка</v>
      </c>
      <c r="AA551" s="187">
        <v>350</v>
      </c>
      <c r="AB551" s="124">
        <v>399</v>
      </c>
      <c r="AC551" s="187"/>
      <c r="AD551" s="195">
        <v>1.7</v>
      </c>
      <c r="AE551" s="196">
        <v>5.4</v>
      </c>
      <c r="AF551" s="263" t="str">
        <f>MID(Tabelle2[[#This Row],[bnr full]],1,4)</f>
        <v>F151</v>
      </c>
      <c r="AG551" s="264" t="str">
        <f>MID(Tabelle2[[#This Row],[bnr full]],5,3)</f>
        <v>147</v>
      </c>
      <c r="AH551" s="265" t="str">
        <f>MID(Tabelle2[[#This Row],[bnr full]],8,3)</f>
        <v>680</v>
      </c>
      <c r="AI551" s="264" t="str">
        <f>MID(Tabelle2[[#This Row],[bnr full]],11,3)</f>
        <v>201</v>
      </c>
      <c r="AJ551" s="252" t="str">
        <f>MID(Tabelle2[[#This Row],[bnr full]],11,3)</f>
        <v>201</v>
      </c>
      <c r="AK551" s="197" t="s">
        <v>807</v>
      </c>
      <c r="AL551" s="124" t="str">
        <f ca="1">Sprache!$A$111</f>
        <v>Комплект (Л + П)</v>
      </c>
      <c r="AM551" s="187" t="s">
        <v>25</v>
      </c>
      <c r="AN551" s="187" t="str">
        <f ca="1">Sprache!$A$131</f>
        <v>Пружина, черная, двусторонняя</v>
      </c>
      <c r="AO551" s="187" t="s">
        <v>25</v>
      </c>
      <c r="AP551" s="187" t="s">
        <v>25</v>
      </c>
      <c r="AQ551" s="187">
        <f>Limits!$K$9</f>
        <v>200</v>
      </c>
      <c r="AR551" s="124">
        <v>1200</v>
      </c>
      <c r="AS551" s="187"/>
      <c r="AT551" s="124"/>
      <c r="AV551"/>
      <c r="AX551" s="10"/>
      <c r="AY551" s="11"/>
      <c r="AZ551" s="2"/>
      <c r="BC551"/>
    </row>
    <row r="552" spans="1:55" hidden="1" x14ac:dyDescent="0.25">
      <c r="A552" s="12" t="str">
        <f ca="1">IF(F552+G552+H552+I552+J552+D552+E552=3,IF(Tabelle2[[#This Row],[Kappe Weiß]]=Limits!$R$29,1,""),"")</f>
        <v/>
      </c>
      <c r="B552" s="12" t="str">
        <f ca="1">IF(G552+H552+I552+J552+E552+F552=2,IF(Tabelle2[[#This Row],[Kappe Weiß]]=Limits!$R$29,1,""),"")</f>
        <v/>
      </c>
      <c r="C552" s="291">
        <v>0</v>
      </c>
      <c r="D552" s="171">
        <f>IF(Limits!$P$6=TRUE,1,0)</f>
        <v>0</v>
      </c>
      <c r="E552" s="172">
        <f>IF(Daten!$P552+Daten!$Q552+Daten!$S552=3,1,0)</f>
        <v>0</v>
      </c>
      <c r="F552" s="173">
        <f ca="1">IF(AND(Limits!$Q$21=TRUE,Daten!O552=1)=TRUE,1,0)</f>
        <v>0</v>
      </c>
      <c r="G552" s="174">
        <f>IF(AND(Limits!$Q$25=TRUE,Daten!N552=1)=TRUE,1,0)</f>
        <v>0</v>
      </c>
      <c r="H552" s="174">
        <f>IF(AND(Limits!$Q$24=TRUE,Daten!M552=1)=TRUE,1,0)</f>
        <v>0</v>
      </c>
      <c r="I552" s="174">
        <f>IF(AND(Limits!$Q$23=TRUE,Daten!L552=1)=TRUE,1,0)</f>
        <v>0</v>
      </c>
      <c r="J552" s="174">
        <f>IF(AND(Limits!$Q$22=TRUE,Daten!K552=1)=TRUE,1,0)</f>
        <v>0</v>
      </c>
      <c r="K552" s="188">
        <f>IF(Daten!$V552=13,1,0)</f>
        <v>0</v>
      </c>
      <c r="L552" s="189">
        <f>IF(Daten!$V552&lt;&gt;Daten!$W552,1,IF(Daten!$V552=14,1,0))</f>
        <v>0</v>
      </c>
      <c r="M552" s="189">
        <f>IF(Daten!$V552&lt;&gt;Daten!$W552,1,IF(Daten!$V552=16,1,0))</f>
        <v>0</v>
      </c>
      <c r="N552" s="189">
        <f>IF(Daten!$W552=17,1,0)</f>
        <v>1</v>
      </c>
      <c r="O552" s="190">
        <f ca="1">IF(Daten!$X552=Sprache!$A$70,1,0)</f>
        <v>0</v>
      </c>
      <c r="P552" s="191">
        <f>IF(AND(Daten!$AQ552&lt;=KINVARO!$AW$3,Daten!$AR552&gt;=KINVARO!$AW$3)=TRUE,1,0)</f>
        <v>1</v>
      </c>
      <c r="Q552" s="192">
        <f>IF(AND(Daten!$AA552&lt;=KINVARO!$AW$4,Daten!$AB552&gt;=KINVARO!$AW$4)=TRUE,1,0)</f>
        <v>0</v>
      </c>
      <c r="R552" s="192"/>
      <c r="S552" s="192">
        <f>IF(AND(Daten!$AD552&lt;=Limits!$I$70,Daten!$AE552&gt;=Limits!$I$70)=TRUE,1,0)</f>
        <v>0</v>
      </c>
      <c r="T552" s="193">
        <f ca="1">IF(Daten!$Y552=Sprache!$A$135,1,0)</f>
        <v>0</v>
      </c>
      <c r="U552" s="124" t="str">
        <f ca="1">Sprache!$A$68</f>
        <v>T-65 Поворотный подъемник</v>
      </c>
      <c r="V552" s="194">
        <v>17</v>
      </c>
      <c r="W552" s="193">
        <v>17</v>
      </c>
      <c r="X552" s="187" t="str">
        <f ca="1">Sprache!$A$141</f>
        <v>Alu</v>
      </c>
      <c r="Y552" s="187" t="str">
        <f ca="1">Sprache!$A$136</f>
        <v>nein</v>
      </c>
      <c r="Z552" s="187" t="str">
        <f ca="1">Sprache!$A$79</f>
        <v>Створка</v>
      </c>
      <c r="AA552" s="187">
        <v>350</v>
      </c>
      <c r="AB552" s="124">
        <v>399</v>
      </c>
      <c r="AC552" s="187"/>
      <c r="AD552" s="195">
        <v>1</v>
      </c>
      <c r="AE552" s="196">
        <v>2.9</v>
      </c>
      <c r="AF552" s="263" t="str">
        <f>MID(Tabelle2[[#This Row],[bnr full]],1,4)</f>
        <v>F151</v>
      </c>
      <c r="AG552" s="264" t="str">
        <f>MID(Tabelle2[[#This Row],[bnr full]],5,3)</f>
        <v>147</v>
      </c>
      <c r="AH552" s="265" t="str">
        <f>MID(Tabelle2[[#This Row],[bnr full]],8,3)</f>
        <v>681</v>
      </c>
      <c r="AI552" s="264" t="str">
        <f>MID(Tabelle2[[#This Row],[bnr full]],11,3)</f>
        <v>201</v>
      </c>
      <c r="AJ552" s="252" t="str">
        <f>MID(Tabelle2[[#This Row],[bnr full]],11,3)</f>
        <v>201</v>
      </c>
      <c r="AK552" s="197" t="s">
        <v>808</v>
      </c>
      <c r="AL552" s="124" t="str">
        <f ca="1">Sprache!$A$111</f>
        <v>Комплект (Л + П)</v>
      </c>
      <c r="AM552" s="187" t="s">
        <v>25</v>
      </c>
      <c r="AN552" s="187" t="str">
        <f ca="1">Sprache!$A$130</f>
        <v>Пружина, желтая, двусторонняя</v>
      </c>
      <c r="AO552" s="187" t="s">
        <v>25</v>
      </c>
      <c r="AP552" s="187" t="s">
        <v>25</v>
      </c>
      <c r="AQ552" s="187">
        <f>Limits!$K$9</f>
        <v>200</v>
      </c>
      <c r="AR552" s="124">
        <v>1200</v>
      </c>
      <c r="AS552" s="187"/>
      <c r="AT552" s="124"/>
      <c r="AV552"/>
      <c r="AX552" s="10"/>
      <c r="AY552" s="11"/>
      <c r="AZ552" s="2"/>
      <c r="BC552"/>
    </row>
    <row r="553" spans="1:55" hidden="1" x14ac:dyDescent="0.25">
      <c r="A553" s="12" t="str">
        <f ca="1">IF(F553+G553+H553+I553+J553+D553+E553=3,IF(Tabelle2[[#This Row],[Kappe Weiß]]=Limits!$R$29,1,""),"")</f>
        <v/>
      </c>
      <c r="B553" s="12" t="str">
        <f ca="1">IF(G553+H553+I553+J553+E553+F553=2,IF(Tabelle2[[#This Row],[Kappe Weiß]]=Limits!$R$29,1,""),"")</f>
        <v/>
      </c>
      <c r="C553" s="291">
        <v>0</v>
      </c>
      <c r="D553" s="171">
        <f>IF(Limits!$P$6=TRUE,1,0)</f>
        <v>0</v>
      </c>
      <c r="E553" s="172">
        <f>IF(Daten!$P553+Daten!$Q553+Daten!$S553=3,1,0)</f>
        <v>0</v>
      </c>
      <c r="F553" s="173">
        <f ca="1">IF(AND(Limits!$Q$21=TRUE,Daten!O553=1)=TRUE,1,0)</f>
        <v>0</v>
      </c>
      <c r="G553" s="174">
        <f>IF(AND(Limits!$Q$25=TRUE,Daten!N553=1)=TRUE,1,0)</f>
        <v>0</v>
      </c>
      <c r="H553" s="174">
        <f>IF(AND(Limits!$Q$24=TRUE,Daten!M553=1)=TRUE,1,0)</f>
        <v>0</v>
      </c>
      <c r="I553" s="174">
        <f>IF(AND(Limits!$Q$23=TRUE,Daten!L553=1)=TRUE,1,0)</f>
        <v>0</v>
      </c>
      <c r="J553" s="174">
        <f>IF(AND(Limits!$Q$22=TRUE,Daten!K553=1)=TRUE,1,0)</f>
        <v>0</v>
      </c>
      <c r="K553" s="188">
        <f>IF(Daten!$V553=13,1,0)</f>
        <v>0</v>
      </c>
      <c r="L553" s="189">
        <f>IF(Daten!$V553&lt;&gt;Daten!$W553,1,IF(Daten!$V553=14,1,0))</f>
        <v>0</v>
      </c>
      <c r="M553" s="189">
        <f>IF(Daten!$V553&lt;&gt;Daten!$W553,1,IF(Daten!$V553=16,1,0))</f>
        <v>0</v>
      </c>
      <c r="N553" s="189">
        <f>IF(Daten!$W553=17,1,0)</f>
        <v>1</v>
      </c>
      <c r="O553" s="190">
        <f ca="1">IF(Daten!$X553=Sprache!$A$70,1,0)</f>
        <v>0</v>
      </c>
      <c r="P553" s="191">
        <f>IF(AND(Daten!$AQ553&lt;=KINVARO!$AW$3,Daten!$AR553&gt;=KINVARO!$AW$3)=TRUE,1,0)</f>
        <v>1</v>
      </c>
      <c r="Q553" s="192">
        <f>IF(AND(Daten!$AA553&lt;=KINVARO!$AW$4,Daten!$AB553&gt;=KINVARO!$AW$4)=TRUE,1,0)</f>
        <v>0</v>
      </c>
      <c r="R553" s="192"/>
      <c r="S553" s="192">
        <f>IF(AND(Daten!$AD553&lt;=Limits!$I$70,Daten!$AE553&gt;=Limits!$I$70)=TRUE,1,0)</f>
        <v>0</v>
      </c>
      <c r="T553" s="193">
        <f ca="1">IF(Daten!$Y553=Sprache!$A$135,1,0)</f>
        <v>0</v>
      </c>
      <c r="U553" s="124" t="str">
        <f ca="1">Sprache!$A$68</f>
        <v>T-65 Поворотный подъемник</v>
      </c>
      <c r="V553" s="194">
        <v>17</v>
      </c>
      <c r="W553" s="193">
        <v>17</v>
      </c>
      <c r="X553" s="187" t="str">
        <f ca="1">Sprache!$A$141</f>
        <v>Alu</v>
      </c>
      <c r="Y553" s="187" t="str">
        <f ca="1">Sprache!$A$136</f>
        <v>nein</v>
      </c>
      <c r="Z553" s="187" t="str">
        <f ca="1">Sprache!$A$79</f>
        <v>Створка</v>
      </c>
      <c r="AA553" s="187">
        <v>350</v>
      </c>
      <c r="AB553" s="124">
        <v>399</v>
      </c>
      <c r="AC553" s="187"/>
      <c r="AD553" s="195">
        <v>1.7</v>
      </c>
      <c r="AE553" s="196">
        <v>5.4</v>
      </c>
      <c r="AF553" s="263" t="str">
        <f>MID(Tabelle2[[#This Row],[bnr full]],1,4)</f>
        <v>F151</v>
      </c>
      <c r="AG553" s="264" t="str">
        <f>MID(Tabelle2[[#This Row],[bnr full]],5,3)</f>
        <v>147</v>
      </c>
      <c r="AH553" s="265" t="str">
        <f>MID(Tabelle2[[#This Row],[bnr full]],8,3)</f>
        <v>681</v>
      </c>
      <c r="AI553" s="264" t="str">
        <f>MID(Tabelle2[[#This Row],[bnr full]],11,3)</f>
        <v>201</v>
      </c>
      <c r="AJ553" s="252" t="str">
        <f>MID(Tabelle2[[#This Row],[bnr full]],11,3)</f>
        <v>201</v>
      </c>
      <c r="AK553" s="197" t="s">
        <v>808</v>
      </c>
      <c r="AL553" s="124" t="str">
        <f ca="1">Sprache!$A$111</f>
        <v>Комплект (Л + П)</v>
      </c>
      <c r="AM553" s="187" t="s">
        <v>25</v>
      </c>
      <c r="AN553" s="187" t="str">
        <f ca="1">Sprache!$A$131</f>
        <v>Пружина, черная, двусторонняя</v>
      </c>
      <c r="AO553" s="187" t="s">
        <v>25</v>
      </c>
      <c r="AP553" s="187" t="s">
        <v>25</v>
      </c>
      <c r="AQ553" s="187">
        <f>Limits!$K$9</f>
        <v>200</v>
      </c>
      <c r="AR553" s="124">
        <v>1200</v>
      </c>
      <c r="AS553" s="187"/>
      <c r="AT553" s="124"/>
      <c r="AV553"/>
      <c r="AX553" s="10"/>
      <c r="AY553" s="11"/>
      <c r="AZ553" s="2"/>
      <c r="BC553"/>
    </row>
    <row r="554" spans="1:55" hidden="1" x14ac:dyDescent="0.25">
      <c r="A554" s="12" t="str">
        <f ca="1">IF(F554+G554+H554+I554+J554+D554+E554=3,IF(Tabelle2[[#This Row],[Kappe Weiß]]=Limits!$R$29,1,""),"")</f>
        <v/>
      </c>
      <c r="B554" s="12" t="str">
        <f ca="1">IF(G554+H554+I554+J554+E554+F554=2,IF(Tabelle2[[#This Row],[Kappe Weiß]]=Limits!$R$29,1,""),"")</f>
        <v/>
      </c>
      <c r="C554" s="292">
        <v>0</v>
      </c>
      <c r="D554" s="171">
        <f>IF(Limits!$P$6=TRUE,1,0)</f>
        <v>0</v>
      </c>
      <c r="E554" s="172">
        <f>IF(Daten!$P554+Daten!$Q554+Daten!$S554=3,1,0)</f>
        <v>0</v>
      </c>
      <c r="F554" s="173">
        <f ca="1">IF(AND(Limits!$Q$21=TRUE,Daten!O554=1)=TRUE,1,0)</f>
        <v>1</v>
      </c>
      <c r="G554" s="174">
        <f ca="1">IF(AND(Limits!$Q$25=TRUE,Daten!N554=1)=TRUE,1,0)</f>
        <v>0</v>
      </c>
      <c r="H554" s="174">
        <f ca="1">IF(AND(Limits!$Q$24=TRUE,Daten!M554=1)=TRUE,1,0)</f>
        <v>0</v>
      </c>
      <c r="I554" s="174">
        <f ca="1">IF(AND(Limits!$Q$23=TRUE,Daten!L554=1)=TRUE,1,0)</f>
        <v>0</v>
      </c>
      <c r="J554" s="174">
        <f ca="1">IF(AND(Limits!$Q$22=TRUE,Daten!K554=1)=TRUE,1,0)</f>
        <v>0</v>
      </c>
      <c r="K554" s="188">
        <f ca="1">IF(Daten!$V554=13,1,0)</f>
        <v>0</v>
      </c>
      <c r="L554" s="189">
        <f ca="1">IF(Daten!$V554&lt;&gt;Daten!$W554,1,IF(Daten!$V554=14,1,0))</f>
        <v>0</v>
      </c>
      <c r="M554" s="189">
        <f ca="1">IF(Daten!$V554&lt;&gt;Daten!$W554,1,IF(Daten!$V554=16,1,0))</f>
        <v>0</v>
      </c>
      <c r="N554" s="189">
        <f ca="1">IF(Daten!$W554=17,1,0)</f>
        <v>0</v>
      </c>
      <c r="O554" s="190">
        <f ca="1">IF(Daten!$X554=Sprache!$A$70,1,0)</f>
        <v>1</v>
      </c>
      <c r="P554" s="198">
        <f>IF(AND(Daten!$AQ554&lt;=KINVARO!$AW$3,Daten!$AR554&gt;=KINVARO!$AW$3)=TRUE,1,0)</f>
        <v>1</v>
      </c>
      <c r="Q554" s="199">
        <f>IF(AND(Daten!$AA554&lt;=KINVARO!$AW$4,Daten!$AB554&gt;=KINVARO!$AW$4)=TRUE,1,0)</f>
        <v>0</v>
      </c>
      <c r="R554" s="199"/>
      <c r="S554" s="199">
        <f>IF(AND(Daten!$AD554&lt;=Limits!$I$70,Daten!$AE554&gt;=Limits!$I$70)=TRUE,1,0)</f>
        <v>0</v>
      </c>
      <c r="T554" s="200">
        <f ca="1">IF(Daten!$Y554=Sprache!$A$135,1,0)</f>
        <v>0</v>
      </c>
      <c r="U554" s="201" t="str">
        <f ca="1">Sprache!$A$68</f>
        <v>T-65 Поворотный подъемник</v>
      </c>
      <c r="V554" s="202" t="str">
        <f ca="1">Sprache!$A$74</f>
        <v>var</v>
      </c>
      <c r="W554" s="200" t="str">
        <f ca="1">Sprache!$A$74</f>
        <v>var</v>
      </c>
      <c r="X554" s="203" t="str">
        <f ca="1">Sprache!$A$70</f>
        <v>соединение с древесиной</v>
      </c>
      <c r="Y554" s="187" t="str">
        <f ca="1">Sprache!$A$136</f>
        <v>nein</v>
      </c>
      <c r="Z554" s="203" t="str">
        <f ca="1">Sprache!$A$79</f>
        <v>Створка</v>
      </c>
      <c r="AA554" s="203">
        <v>400</v>
      </c>
      <c r="AB554" s="201">
        <v>449</v>
      </c>
      <c r="AC554" s="203"/>
      <c r="AD554" s="204">
        <v>0.8</v>
      </c>
      <c r="AE554" s="205">
        <v>2.5</v>
      </c>
      <c r="AF554" s="266" t="str">
        <f>MID(Tabelle2[[#This Row],[bnr full]],1,4)</f>
        <v>F151</v>
      </c>
      <c r="AG554" s="267" t="str">
        <f>MID(Tabelle2[[#This Row],[bnr full]],5,3)</f>
        <v>147</v>
      </c>
      <c r="AH554" s="268" t="str">
        <f>MID(Tabelle2[[#This Row],[bnr full]],8,3)</f>
        <v>682</v>
      </c>
      <c r="AI554" s="267" t="str">
        <f>MID(Tabelle2[[#This Row],[bnr full]],11,3)</f>
        <v>201</v>
      </c>
      <c r="AJ554" s="253" t="str">
        <f>MID(Tabelle2[[#This Row],[bnr full]],11,3)</f>
        <v>201</v>
      </c>
      <c r="AK554" s="206" t="s">
        <v>804</v>
      </c>
      <c r="AL554" s="201" t="str">
        <f ca="1">Sprache!$A$111</f>
        <v>Комплект (Л + П)</v>
      </c>
      <c r="AM554" s="203" t="s">
        <v>25</v>
      </c>
      <c r="AN554" s="203" t="str">
        <f ca="1">Sprache!$A$130</f>
        <v>Пружина, желтая, двусторонняя</v>
      </c>
      <c r="AO554" s="187" t="s">
        <v>25</v>
      </c>
      <c r="AP554" s="187" t="s">
        <v>25</v>
      </c>
      <c r="AQ554" s="203">
        <f>Limits!$K$9</f>
        <v>200</v>
      </c>
      <c r="AR554" s="201">
        <v>1200</v>
      </c>
      <c r="AS554" s="187"/>
      <c r="AT554" s="124"/>
      <c r="AV554"/>
      <c r="AX554" s="10"/>
      <c r="AY554" s="11"/>
      <c r="AZ554" s="2"/>
      <c r="BC554"/>
    </row>
    <row r="555" spans="1:55" hidden="1" x14ac:dyDescent="0.25">
      <c r="A555" s="12" t="str">
        <f ca="1">IF(F555+G555+H555+I555+J555+D555+E555=3,IF(Tabelle2[[#This Row],[Kappe Weiß]]=Limits!$R$29,1,""),"")</f>
        <v/>
      </c>
      <c r="B555" s="12" t="str">
        <f ca="1">IF(G555+H555+I555+J555+E555+F555=2,IF(Tabelle2[[#This Row],[Kappe Weiß]]=Limits!$R$29,1,""),"")</f>
        <v/>
      </c>
      <c r="C555" s="291">
        <v>0</v>
      </c>
      <c r="D555" s="171">
        <f>IF(Limits!$P$6=TRUE,1,0)</f>
        <v>0</v>
      </c>
      <c r="E555" s="172">
        <f>IF(Daten!$P555+Daten!$Q555+Daten!$S555=3,1,0)</f>
        <v>0</v>
      </c>
      <c r="F555" s="173">
        <f ca="1">IF(AND(Limits!$Q$21=TRUE,Daten!O555=1)=TRUE,1,0)</f>
        <v>1</v>
      </c>
      <c r="G555" s="174">
        <f ca="1">IF(AND(Limits!$Q$25=TRUE,Daten!N555=1)=TRUE,1,0)</f>
        <v>0</v>
      </c>
      <c r="H555" s="174">
        <f ca="1">IF(AND(Limits!$Q$24=TRUE,Daten!M555=1)=TRUE,1,0)</f>
        <v>0</v>
      </c>
      <c r="I555" s="174">
        <f ca="1">IF(AND(Limits!$Q$23=TRUE,Daten!L555=1)=TRUE,1,0)</f>
        <v>0</v>
      </c>
      <c r="J555" s="174">
        <f ca="1">IF(AND(Limits!$Q$22=TRUE,Daten!K555=1)=TRUE,1,0)</f>
        <v>0</v>
      </c>
      <c r="K555" s="188">
        <f ca="1">IF(Daten!$V555=13,1,0)</f>
        <v>0</v>
      </c>
      <c r="L555" s="189">
        <f ca="1">IF(Daten!$V555&lt;&gt;Daten!$W555,1,IF(Daten!$V555=14,1,0))</f>
        <v>0</v>
      </c>
      <c r="M555" s="189">
        <f ca="1">IF(Daten!$V555&lt;&gt;Daten!$W555,1,IF(Daten!$V555=16,1,0))</f>
        <v>0</v>
      </c>
      <c r="N555" s="189">
        <f ca="1">IF(Daten!$W555=17,1,0)</f>
        <v>0</v>
      </c>
      <c r="O555" s="190">
        <f ca="1">IF(Daten!$X555=Sprache!$A$70,1,0)</f>
        <v>1</v>
      </c>
      <c r="P555" s="191">
        <f>IF(AND(Daten!$AQ555&lt;=KINVARO!$AW$3,Daten!$AR555&gt;=KINVARO!$AW$3)=TRUE,1,0)</f>
        <v>1</v>
      </c>
      <c r="Q555" s="192">
        <f>IF(AND(Daten!$AA555&lt;=KINVARO!$AW$4,Daten!$AB555&gt;=KINVARO!$AW$4)=TRUE,1,0)</f>
        <v>0</v>
      </c>
      <c r="R555" s="192"/>
      <c r="S555" s="192">
        <f>IF(AND(Daten!$AD555&lt;=Limits!$I$70,Daten!$AE555&gt;=Limits!$I$70)=TRUE,1,0)</f>
        <v>0</v>
      </c>
      <c r="T555" s="193">
        <f ca="1">IF(Daten!$Y555=Sprache!$A$135,1,0)</f>
        <v>0</v>
      </c>
      <c r="U555" s="124" t="str">
        <f ca="1">Sprache!$A$68</f>
        <v>T-65 Поворотный подъемник</v>
      </c>
      <c r="V555" s="194" t="str">
        <f ca="1">Sprache!$A$74</f>
        <v>var</v>
      </c>
      <c r="W555" s="193" t="str">
        <f ca="1">Sprache!$A$74</f>
        <v>var</v>
      </c>
      <c r="X555" s="187" t="str">
        <f ca="1">Sprache!$A$70</f>
        <v>соединение с древесиной</v>
      </c>
      <c r="Y555" s="187" t="str">
        <f ca="1">Sprache!$A$136</f>
        <v>nein</v>
      </c>
      <c r="Z555" s="187" t="str">
        <f ca="1">Sprache!$A$79</f>
        <v>Створка</v>
      </c>
      <c r="AA555" s="187">
        <v>400</v>
      </c>
      <c r="AB555" s="124">
        <v>449</v>
      </c>
      <c r="AC555" s="187"/>
      <c r="AD555" s="195">
        <v>1.5</v>
      </c>
      <c r="AE555" s="196">
        <v>4.7</v>
      </c>
      <c r="AF555" s="263" t="str">
        <f>MID(Tabelle2[[#This Row],[bnr full]],1,4)</f>
        <v>F151</v>
      </c>
      <c r="AG555" s="264" t="str">
        <f>MID(Tabelle2[[#This Row],[bnr full]],5,3)</f>
        <v>147</v>
      </c>
      <c r="AH555" s="265" t="str">
        <f>MID(Tabelle2[[#This Row],[bnr full]],8,3)</f>
        <v>682</v>
      </c>
      <c r="AI555" s="264" t="str">
        <f>MID(Tabelle2[[#This Row],[bnr full]],11,3)</f>
        <v>201</v>
      </c>
      <c r="AJ555" s="252" t="str">
        <f>MID(Tabelle2[[#This Row],[bnr full]],11,3)</f>
        <v>201</v>
      </c>
      <c r="AK555" s="197" t="s">
        <v>804</v>
      </c>
      <c r="AL555" s="124" t="str">
        <f ca="1">Sprache!$A$111</f>
        <v>Комплект (Л + П)</v>
      </c>
      <c r="AM555" s="187" t="s">
        <v>25</v>
      </c>
      <c r="AN555" s="187" t="str">
        <f ca="1">Sprache!$A$131</f>
        <v>Пружина, черная, двусторонняя</v>
      </c>
      <c r="AO555" s="187" t="s">
        <v>25</v>
      </c>
      <c r="AP555" s="187" t="s">
        <v>25</v>
      </c>
      <c r="AQ555" s="187">
        <f>Limits!$K$9</f>
        <v>200</v>
      </c>
      <c r="AR555" s="124">
        <v>1200</v>
      </c>
      <c r="AS555" s="187"/>
      <c r="AT555" s="124"/>
      <c r="AV555"/>
      <c r="AX555" s="10"/>
      <c r="AY555" s="11"/>
      <c r="AZ555" s="2"/>
      <c r="BC555"/>
    </row>
    <row r="556" spans="1:55" hidden="1" x14ac:dyDescent="0.25">
      <c r="A556" s="12" t="str">
        <f ca="1">IF(F556+G556+H556+I556+J556+D556+E556=3,IF(Tabelle2[[#This Row],[Kappe Weiß]]=Limits!$R$29,1,""),"")</f>
        <v/>
      </c>
      <c r="B556" s="12" t="str">
        <f ca="1">IF(G556+H556+I556+J556+E556+F556=2,IF(Tabelle2[[#This Row],[Kappe Weiß]]=Limits!$R$29,1,""),"")</f>
        <v/>
      </c>
      <c r="C556" s="291">
        <v>0</v>
      </c>
      <c r="D556" s="171">
        <f>IF(Limits!$P$6=TRUE,1,0)</f>
        <v>0</v>
      </c>
      <c r="E556" s="172">
        <f>IF(Daten!$P556+Daten!$Q556+Daten!$S556=3,1,0)</f>
        <v>0</v>
      </c>
      <c r="F556" s="173">
        <f ca="1">IF(AND(Limits!$Q$21=TRUE,Daten!O556=1)=TRUE,1,0)</f>
        <v>0</v>
      </c>
      <c r="G556" s="174">
        <f>IF(AND(Limits!$Q$25=TRUE,Daten!N556=1)=TRUE,1,0)</f>
        <v>0</v>
      </c>
      <c r="H556" s="174">
        <f>IF(AND(Limits!$Q$24=TRUE,Daten!M556=1)=TRUE,1,0)</f>
        <v>0</v>
      </c>
      <c r="I556" s="174">
        <f>IF(AND(Limits!$Q$23=TRUE,Daten!L556=1)=TRUE,1,0)</f>
        <v>0</v>
      </c>
      <c r="J556" s="174">
        <f>IF(AND(Limits!$Q$22=TRUE,Daten!K556=1)=TRUE,1,0)</f>
        <v>0</v>
      </c>
      <c r="K556" s="188">
        <f>IF(Daten!$V556=13,1,0)</f>
        <v>1</v>
      </c>
      <c r="L556" s="189">
        <f>IF(Daten!$V556&lt;&gt;Daten!$W556,1,IF(Daten!$V556=14,1,0))</f>
        <v>0</v>
      </c>
      <c r="M556" s="189">
        <f>IF(Daten!$V556&lt;&gt;Daten!$W556,1,IF(Daten!$V556=16,1,0))</f>
        <v>0</v>
      </c>
      <c r="N556" s="189">
        <f>IF(Daten!$W556=17,1,0)</f>
        <v>0</v>
      </c>
      <c r="O556" s="190">
        <f ca="1">IF(Daten!$X556=Sprache!$A$70,1,0)</f>
        <v>0</v>
      </c>
      <c r="P556" s="191">
        <f>IF(AND(Daten!$AQ556&lt;=KINVARO!$AW$3,Daten!$AR556&gt;=KINVARO!$AW$3)=TRUE,1,0)</f>
        <v>1</v>
      </c>
      <c r="Q556" s="192">
        <f>IF(AND(Daten!$AA556&lt;=KINVARO!$AW$4,Daten!$AB556&gt;=KINVARO!$AW$4)=TRUE,1,0)</f>
        <v>0</v>
      </c>
      <c r="R556" s="192"/>
      <c r="S556" s="192">
        <f>IF(AND(Daten!$AD556&lt;=Limits!$I$70,Daten!$AE556&gt;=Limits!$I$70)=TRUE,1,0)</f>
        <v>0</v>
      </c>
      <c r="T556" s="193">
        <f ca="1">IF(Daten!$Y556=Sprache!$A$135,1,0)</f>
        <v>0</v>
      </c>
      <c r="U556" s="124" t="str">
        <f ca="1">Sprache!$A$68</f>
        <v>T-65 Поворотный подъемник</v>
      </c>
      <c r="V556" s="194">
        <v>13</v>
      </c>
      <c r="W556" s="193">
        <v>13</v>
      </c>
      <c r="X556" s="187" t="str">
        <f ca="1">Sprache!$A$141</f>
        <v>Alu</v>
      </c>
      <c r="Y556" s="187" t="str">
        <f ca="1">Sprache!$A$136</f>
        <v>nein</v>
      </c>
      <c r="Z556" s="187" t="str">
        <f ca="1">Sprache!$A$79</f>
        <v>Створка</v>
      </c>
      <c r="AA556" s="187">
        <v>400</v>
      </c>
      <c r="AB556" s="124">
        <v>449</v>
      </c>
      <c r="AC556" s="187"/>
      <c r="AD556" s="195">
        <v>0.8</v>
      </c>
      <c r="AE556" s="196">
        <v>2.5</v>
      </c>
      <c r="AF556" s="263" t="str">
        <f>MID(Tabelle2[[#This Row],[bnr full]],1,4)</f>
        <v>F151</v>
      </c>
      <c r="AG556" s="264" t="str">
        <f>MID(Tabelle2[[#This Row],[bnr full]],5,3)</f>
        <v>147</v>
      </c>
      <c r="AH556" s="265" t="str">
        <f>MID(Tabelle2[[#This Row],[bnr full]],8,3)</f>
        <v>678</v>
      </c>
      <c r="AI556" s="264" t="str">
        <f>MID(Tabelle2[[#This Row],[bnr full]],11,3)</f>
        <v>201</v>
      </c>
      <c r="AJ556" s="252" t="str">
        <f>MID(Tabelle2[[#This Row],[bnr full]],11,3)</f>
        <v>201</v>
      </c>
      <c r="AK556" s="197" t="s">
        <v>805</v>
      </c>
      <c r="AL556" s="124" t="str">
        <f ca="1">Sprache!$A$111</f>
        <v>Комплект (Л + П)</v>
      </c>
      <c r="AM556" s="187" t="s">
        <v>25</v>
      </c>
      <c r="AN556" s="187" t="str">
        <f ca="1">Sprache!$A$130</f>
        <v>Пружина, желтая, двусторонняя</v>
      </c>
      <c r="AO556" s="187" t="s">
        <v>25</v>
      </c>
      <c r="AP556" s="187" t="s">
        <v>25</v>
      </c>
      <c r="AQ556" s="187">
        <f>Limits!$K$9</f>
        <v>200</v>
      </c>
      <c r="AR556" s="124">
        <v>1200</v>
      </c>
      <c r="AS556" s="187"/>
      <c r="AT556" s="124"/>
      <c r="AV556"/>
      <c r="AX556" s="10"/>
      <c r="AY556" s="11"/>
      <c r="AZ556" s="2"/>
      <c r="BC556"/>
    </row>
    <row r="557" spans="1:55" hidden="1" x14ac:dyDescent="0.25">
      <c r="A557" s="12" t="str">
        <f ca="1">IF(F557+G557+H557+I557+J557+D557+E557=3,IF(Tabelle2[[#This Row],[Kappe Weiß]]=Limits!$R$29,1,""),"")</f>
        <v/>
      </c>
      <c r="B557" s="12" t="str">
        <f ca="1">IF(G557+H557+I557+J557+E557+F557=2,IF(Tabelle2[[#This Row],[Kappe Weiß]]=Limits!$R$29,1,""),"")</f>
        <v/>
      </c>
      <c r="C557" s="291">
        <v>0</v>
      </c>
      <c r="D557" s="171">
        <f>IF(Limits!$P$6=TRUE,1,0)</f>
        <v>0</v>
      </c>
      <c r="E557" s="172">
        <f>IF(Daten!$P557+Daten!$Q557+Daten!$S557=3,1,0)</f>
        <v>0</v>
      </c>
      <c r="F557" s="173">
        <f ca="1">IF(AND(Limits!$Q$21=TRUE,Daten!O557=1)=TRUE,1,0)</f>
        <v>0</v>
      </c>
      <c r="G557" s="174">
        <f>IF(AND(Limits!$Q$25=TRUE,Daten!N557=1)=TRUE,1,0)</f>
        <v>0</v>
      </c>
      <c r="H557" s="174">
        <f>IF(AND(Limits!$Q$24=TRUE,Daten!M557=1)=TRUE,1,0)</f>
        <v>0</v>
      </c>
      <c r="I557" s="174">
        <f>IF(AND(Limits!$Q$23=TRUE,Daten!L557=1)=TRUE,1,0)</f>
        <v>0</v>
      </c>
      <c r="J557" s="174">
        <f>IF(AND(Limits!$Q$22=TRUE,Daten!K557=1)=TRUE,1,0)</f>
        <v>0</v>
      </c>
      <c r="K557" s="188">
        <f>IF(Daten!$V557=13,1,0)</f>
        <v>1</v>
      </c>
      <c r="L557" s="189">
        <f>IF(Daten!$V557&lt;&gt;Daten!$W557,1,IF(Daten!$V557=14,1,0))</f>
        <v>0</v>
      </c>
      <c r="M557" s="189">
        <f>IF(Daten!$V557&lt;&gt;Daten!$W557,1,IF(Daten!$V557=16,1,0))</f>
        <v>0</v>
      </c>
      <c r="N557" s="189">
        <f>IF(Daten!$W557=17,1,0)</f>
        <v>0</v>
      </c>
      <c r="O557" s="190">
        <f ca="1">IF(Daten!$X557=Sprache!$A$70,1,0)</f>
        <v>0</v>
      </c>
      <c r="P557" s="191">
        <f>IF(AND(Daten!$AQ557&lt;=KINVARO!$AW$3,Daten!$AR557&gt;=KINVARO!$AW$3)=TRUE,1,0)</f>
        <v>1</v>
      </c>
      <c r="Q557" s="192">
        <f>IF(AND(Daten!$AA557&lt;=KINVARO!$AW$4,Daten!$AB557&gt;=KINVARO!$AW$4)=TRUE,1,0)</f>
        <v>0</v>
      </c>
      <c r="R557" s="192"/>
      <c r="S557" s="192">
        <f>IF(AND(Daten!$AD557&lt;=Limits!$I$70,Daten!$AE557&gt;=Limits!$I$70)=TRUE,1,0)</f>
        <v>0</v>
      </c>
      <c r="T557" s="193">
        <f ca="1">IF(Daten!$Y557=Sprache!$A$135,1,0)</f>
        <v>0</v>
      </c>
      <c r="U557" s="124" t="str">
        <f ca="1">Sprache!$A$68</f>
        <v>T-65 Поворотный подъемник</v>
      </c>
      <c r="V557" s="194">
        <v>13</v>
      </c>
      <c r="W557" s="193">
        <v>13</v>
      </c>
      <c r="X557" s="187" t="str">
        <f ca="1">Sprache!$A$141</f>
        <v>Alu</v>
      </c>
      <c r="Y557" s="187" t="str">
        <f ca="1">Sprache!$A$136</f>
        <v>nein</v>
      </c>
      <c r="Z557" s="187" t="str">
        <f ca="1">Sprache!$A$79</f>
        <v>Створка</v>
      </c>
      <c r="AA557" s="187">
        <v>400</v>
      </c>
      <c r="AB557" s="124">
        <v>449</v>
      </c>
      <c r="AC557" s="187"/>
      <c r="AD557" s="195">
        <v>1.5</v>
      </c>
      <c r="AE557" s="196">
        <v>4.7</v>
      </c>
      <c r="AF557" s="263" t="str">
        <f>MID(Tabelle2[[#This Row],[bnr full]],1,4)</f>
        <v>F151</v>
      </c>
      <c r="AG557" s="264" t="str">
        <f>MID(Tabelle2[[#This Row],[bnr full]],5,3)</f>
        <v>147</v>
      </c>
      <c r="AH557" s="265" t="str">
        <f>MID(Tabelle2[[#This Row],[bnr full]],8,3)</f>
        <v>678</v>
      </c>
      <c r="AI557" s="264" t="str">
        <f>MID(Tabelle2[[#This Row],[bnr full]],11,3)</f>
        <v>201</v>
      </c>
      <c r="AJ557" s="252" t="str">
        <f>MID(Tabelle2[[#This Row],[bnr full]],11,3)</f>
        <v>201</v>
      </c>
      <c r="AK557" s="197" t="s">
        <v>805</v>
      </c>
      <c r="AL557" s="124" t="str">
        <f ca="1">Sprache!$A$111</f>
        <v>Комплект (Л + П)</v>
      </c>
      <c r="AM557" s="187" t="s">
        <v>25</v>
      </c>
      <c r="AN557" s="187" t="str">
        <f ca="1">Sprache!$A$131</f>
        <v>Пружина, черная, двусторонняя</v>
      </c>
      <c r="AO557" s="187" t="s">
        <v>25</v>
      </c>
      <c r="AP557" s="187" t="s">
        <v>25</v>
      </c>
      <c r="AQ557" s="187">
        <f>Limits!$K$9</f>
        <v>200</v>
      </c>
      <c r="AR557" s="124">
        <v>1200</v>
      </c>
      <c r="AS557" s="187"/>
      <c r="AT557" s="124"/>
      <c r="AV557"/>
      <c r="AX557" s="10"/>
      <c r="AY557" s="11"/>
      <c r="AZ557" s="2"/>
      <c r="BC557"/>
    </row>
    <row r="558" spans="1:55" hidden="1" x14ac:dyDescent="0.25">
      <c r="A558" s="12" t="str">
        <f ca="1">IF(F558+G558+H558+I558+J558+D558+E558=3,IF(Tabelle2[[#This Row],[Kappe Weiß]]=Limits!$R$29,1,""),"")</f>
        <v/>
      </c>
      <c r="B558" s="12" t="str">
        <f ca="1">IF(G558+H558+I558+J558+E558+F558=2,IF(Tabelle2[[#This Row],[Kappe Weiß]]=Limits!$R$29,1,""),"")</f>
        <v/>
      </c>
      <c r="C558" s="291">
        <v>0</v>
      </c>
      <c r="D558" s="171">
        <f>IF(Limits!$P$6=TRUE,1,0)</f>
        <v>0</v>
      </c>
      <c r="E558" s="172">
        <f>IF(Daten!$P558+Daten!$Q558+Daten!$S558=3,1,0)</f>
        <v>0</v>
      </c>
      <c r="F558" s="173">
        <f ca="1">IF(AND(Limits!$Q$21=TRUE,Daten!O558=1)=TRUE,1,0)</f>
        <v>0</v>
      </c>
      <c r="G558" s="174">
        <f>IF(AND(Limits!$Q$25=TRUE,Daten!N558=1)=TRUE,1,0)</f>
        <v>0</v>
      </c>
      <c r="H558" s="174">
        <f>IF(AND(Limits!$Q$24=TRUE,Daten!M558=1)=TRUE,1,0)</f>
        <v>0</v>
      </c>
      <c r="I558" s="174">
        <f>IF(AND(Limits!$Q$23=TRUE,Daten!L558=1)=TRUE,1,0)</f>
        <v>0</v>
      </c>
      <c r="J558" s="174">
        <f>IF(AND(Limits!$Q$22=TRUE,Daten!K558=1)=TRUE,1,0)</f>
        <v>0</v>
      </c>
      <c r="K558" s="188">
        <f>IF(Daten!$V558=13,1,0)</f>
        <v>0</v>
      </c>
      <c r="L558" s="189">
        <f>IF(Daten!$V558&lt;&gt;Daten!$W558,1,IF(Daten!$V558=14,1,0))</f>
        <v>1</v>
      </c>
      <c r="M558" s="189">
        <f>IF(Daten!$V558&lt;&gt;Daten!$W558,1,IF(Daten!$V558=16,1,0))</f>
        <v>0</v>
      </c>
      <c r="N558" s="189">
        <f>IF(Daten!$W558=17,1,0)</f>
        <v>0</v>
      </c>
      <c r="O558" s="190">
        <f ca="1">IF(Daten!$X558=Sprache!$A$70,1,0)</f>
        <v>0</v>
      </c>
      <c r="P558" s="191">
        <f>IF(AND(Daten!$AQ558&lt;=KINVARO!$AW$3,Daten!$AR558&gt;=KINVARO!$AW$3)=TRUE,1,0)</f>
        <v>1</v>
      </c>
      <c r="Q558" s="192">
        <f>IF(AND(Daten!$AA558&lt;=KINVARO!$AW$4,Daten!$AB558&gt;=KINVARO!$AW$4)=TRUE,1,0)</f>
        <v>0</v>
      </c>
      <c r="R558" s="192"/>
      <c r="S558" s="192">
        <f>IF(AND(Daten!$AD558&lt;=Limits!$I$70,Daten!$AE558&gt;=Limits!$I$70)=TRUE,1,0)</f>
        <v>0</v>
      </c>
      <c r="T558" s="193">
        <f ca="1">IF(Daten!$Y558=Sprache!$A$135,1,0)</f>
        <v>0</v>
      </c>
      <c r="U558" s="124" t="str">
        <f ca="1">Sprache!$A$68</f>
        <v>T-65 Поворотный подъемник</v>
      </c>
      <c r="V558" s="194">
        <v>14</v>
      </c>
      <c r="W558" s="193">
        <v>14</v>
      </c>
      <c r="X558" s="187" t="str">
        <f ca="1">Sprache!$A$141</f>
        <v>Alu</v>
      </c>
      <c r="Y558" s="187" t="str">
        <f ca="1">Sprache!$A$136</f>
        <v>nein</v>
      </c>
      <c r="Z558" s="187" t="str">
        <f ca="1">Sprache!$A$79</f>
        <v>Створка</v>
      </c>
      <c r="AA558" s="187">
        <v>400</v>
      </c>
      <c r="AB558" s="124">
        <v>449</v>
      </c>
      <c r="AC558" s="187"/>
      <c r="AD558" s="195">
        <v>0.8</v>
      </c>
      <c r="AE558" s="196">
        <v>2.5</v>
      </c>
      <c r="AF558" s="263" t="str">
        <f>MID(Tabelle2[[#This Row],[bnr full]],1,4)</f>
        <v>F151</v>
      </c>
      <c r="AG558" s="264" t="str">
        <f>MID(Tabelle2[[#This Row],[bnr full]],5,3)</f>
        <v>147</v>
      </c>
      <c r="AH558" s="265" t="str">
        <f>MID(Tabelle2[[#This Row],[bnr full]],8,3)</f>
        <v>679</v>
      </c>
      <c r="AI558" s="264" t="str">
        <f>MID(Tabelle2[[#This Row],[bnr full]],11,3)</f>
        <v>201</v>
      </c>
      <c r="AJ558" s="252" t="str">
        <f>MID(Tabelle2[[#This Row],[bnr full]],11,3)</f>
        <v>201</v>
      </c>
      <c r="AK558" s="197" t="s">
        <v>806</v>
      </c>
      <c r="AL558" s="124" t="str">
        <f ca="1">Sprache!$A$111</f>
        <v>Комплект (Л + П)</v>
      </c>
      <c r="AM558" s="187" t="s">
        <v>25</v>
      </c>
      <c r="AN558" s="187" t="str">
        <f ca="1">Sprache!$A$130</f>
        <v>Пружина, желтая, двусторонняя</v>
      </c>
      <c r="AO558" s="187" t="s">
        <v>25</v>
      </c>
      <c r="AP558" s="187" t="s">
        <v>25</v>
      </c>
      <c r="AQ558" s="187">
        <f>Limits!$K$9</f>
        <v>200</v>
      </c>
      <c r="AR558" s="124">
        <v>1200</v>
      </c>
      <c r="AS558" s="187"/>
      <c r="AT558" s="124"/>
      <c r="AV558"/>
      <c r="AX558" s="10"/>
      <c r="AY558" s="11"/>
      <c r="AZ558" s="2"/>
      <c r="BC558"/>
    </row>
    <row r="559" spans="1:55" hidden="1" x14ac:dyDescent="0.25">
      <c r="A559" s="12" t="str">
        <f ca="1">IF(F559+G559+H559+I559+J559+D559+E559=3,IF(Tabelle2[[#This Row],[Kappe Weiß]]=Limits!$R$29,1,""),"")</f>
        <v/>
      </c>
      <c r="B559" s="12" t="str">
        <f ca="1">IF(G559+H559+I559+J559+E559+F559=2,IF(Tabelle2[[#This Row],[Kappe Weiß]]=Limits!$R$29,1,""),"")</f>
        <v/>
      </c>
      <c r="C559" s="291">
        <v>0</v>
      </c>
      <c r="D559" s="171">
        <f>IF(Limits!$P$6=TRUE,1,0)</f>
        <v>0</v>
      </c>
      <c r="E559" s="172">
        <f>IF(Daten!$P559+Daten!$Q559+Daten!$S559=3,1,0)</f>
        <v>0</v>
      </c>
      <c r="F559" s="173">
        <f ca="1">IF(AND(Limits!$Q$21=TRUE,Daten!O559=1)=TRUE,1,0)</f>
        <v>0</v>
      </c>
      <c r="G559" s="174">
        <f>IF(AND(Limits!$Q$25=TRUE,Daten!N559=1)=TRUE,1,0)</f>
        <v>0</v>
      </c>
      <c r="H559" s="174">
        <f>IF(AND(Limits!$Q$24=TRUE,Daten!M559=1)=TRUE,1,0)</f>
        <v>0</v>
      </c>
      <c r="I559" s="174">
        <f>IF(AND(Limits!$Q$23=TRUE,Daten!L559=1)=TRUE,1,0)</f>
        <v>0</v>
      </c>
      <c r="J559" s="174">
        <f>IF(AND(Limits!$Q$22=TRUE,Daten!K559=1)=TRUE,1,0)</f>
        <v>0</v>
      </c>
      <c r="K559" s="188">
        <f>IF(Daten!$V559=13,1,0)</f>
        <v>0</v>
      </c>
      <c r="L559" s="189">
        <f>IF(Daten!$V559&lt;&gt;Daten!$W559,1,IF(Daten!$V559=14,1,0))</f>
        <v>1</v>
      </c>
      <c r="M559" s="189">
        <f>IF(Daten!$V559&lt;&gt;Daten!$W559,1,IF(Daten!$V559=16,1,0))</f>
        <v>0</v>
      </c>
      <c r="N559" s="189">
        <f>IF(Daten!$W559=17,1,0)</f>
        <v>0</v>
      </c>
      <c r="O559" s="190">
        <f ca="1">IF(Daten!$X559=Sprache!$A$70,1,0)</f>
        <v>0</v>
      </c>
      <c r="P559" s="191">
        <f>IF(AND(Daten!$AQ559&lt;=KINVARO!$AW$3,Daten!$AR559&gt;=KINVARO!$AW$3)=TRUE,1,0)</f>
        <v>1</v>
      </c>
      <c r="Q559" s="192">
        <f>IF(AND(Daten!$AA559&lt;=KINVARO!$AW$4,Daten!$AB559&gt;=KINVARO!$AW$4)=TRUE,1,0)</f>
        <v>0</v>
      </c>
      <c r="R559" s="192"/>
      <c r="S559" s="192">
        <f>IF(AND(Daten!$AD559&lt;=Limits!$I$70,Daten!$AE559&gt;=Limits!$I$70)=TRUE,1,0)</f>
        <v>0</v>
      </c>
      <c r="T559" s="193">
        <f ca="1">IF(Daten!$Y559=Sprache!$A$135,1,0)</f>
        <v>0</v>
      </c>
      <c r="U559" s="124" t="str">
        <f ca="1">Sprache!$A$68</f>
        <v>T-65 Поворотный подъемник</v>
      </c>
      <c r="V559" s="194">
        <v>14</v>
      </c>
      <c r="W559" s="193">
        <v>14</v>
      </c>
      <c r="X559" s="187" t="str">
        <f ca="1">Sprache!$A$141</f>
        <v>Alu</v>
      </c>
      <c r="Y559" s="187" t="str">
        <f ca="1">Sprache!$A$136</f>
        <v>nein</v>
      </c>
      <c r="Z559" s="187" t="str">
        <f ca="1">Sprache!$A$79</f>
        <v>Створка</v>
      </c>
      <c r="AA559" s="187">
        <v>400</v>
      </c>
      <c r="AB559" s="124">
        <v>449</v>
      </c>
      <c r="AC559" s="187"/>
      <c r="AD559" s="195">
        <v>1.5</v>
      </c>
      <c r="AE559" s="196">
        <v>4.7</v>
      </c>
      <c r="AF559" s="263" t="str">
        <f>MID(Tabelle2[[#This Row],[bnr full]],1,4)</f>
        <v>F151</v>
      </c>
      <c r="AG559" s="264" t="str">
        <f>MID(Tabelle2[[#This Row],[bnr full]],5,3)</f>
        <v>147</v>
      </c>
      <c r="AH559" s="265" t="str">
        <f>MID(Tabelle2[[#This Row],[bnr full]],8,3)</f>
        <v>679</v>
      </c>
      <c r="AI559" s="264" t="str">
        <f>MID(Tabelle2[[#This Row],[bnr full]],11,3)</f>
        <v>201</v>
      </c>
      <c r="AJ559" s="252" t="str">
        <f>MID(Tabelle2[[#This Row],[bnr full]],11,3)</f>
        <v>201</v>
      </c>
      <c r="AK559" s="197" t="s">
        <v>806</v>
      </c>
      <c r="AL559" s="124" t="str">
        <f ca="1">Sprache!$A$111</f>
        <v>Комплект (Л + П)</v>
      </c>
      <c r="AM559" s="187" t="s">
        <v>25</v>
      </c>
      <c r="AN559" s="187" t="str">
        <f ca="1">Sprache!$A$131</f>
        <v>Пружина, черная, двусторонняя</v>
      </c>
      <c r="AO559" s="187" t="s">
        <v>25</v>
      </c>
      <c r="AP559" s="187" t="s">
        <v>25</v>
      </c>
      <c r="AQ559" s="187">
        <f>Limits!$K$9</f>
        <v>200</v>
      </c>
      <c r="AR559" s="124">
        <v>1200</v>
      </c>
      <c r="AS559" s="187"/>
      <c r="AT559" s="124"/>
      <c r="AV559"/>
      <c r="AX559" s="10"/>
      <c r="AY559" s="11"/>
      <c r="AZ559" s="2"/>
      <c r="BC559"/>
    </row>
    <row r="560" spans="1:55" hidden="1" x14ac:dyDescent="0.25">
      <c r="A560" s="12" t="str">
        <f ca="1">IF(F560+G560+H560+I560+J560+D560+E560=3,IF(Tabelle2[[#This Row],[Kappe Weiß]]=Limits!$R$29,1,""),"")</f>
        <v/>
      </c>
      <c r="B560" s="12" t="str">
        <f ca="1">IF(G560+H560+I560+J560+E560+F560=2,IF(Tabelle2[[#This Row],[Kappe Weiß]]=Limits!$R$29,1,""),"")</f>
        <v/>
      </c>
      <c r="C560" s="291">
        <v>0</v>
      </c>
      <c r="D560" s="171">
        <f>IF(Limits!$P$6=TRUE,1,0)</f>
        <v>0</v>
      </c>
      <c r="E560" s="172">
        <f>IF(Daten!$P560+Daten!$Q560+Daten!$S560=3,1,0)</f>
        <v>0</v>
      </c>
      <c r="F560" s="173">
        <f ca="1">IF(AND(Limits!$Q$21=TRUE,Daten!O560=1)=TRUE,1,0)</f>
        <v>0</v>
      </c>
      <c r="G560" s="174">
        <f>IF(AND(Limits!$Q$25=TRUE,Daten!N560=1)=TRUE,1,0)</f>
        <v>0</v>
      </c>
      <c r="H560" s="174">
        <f>IF(AND(Limits!$Q$24=TRUE,Daten!M560=1)=TRUE,1,0)</f>
        <v>0</v>
      </c>
      <c r="I560" s="174">
        <f>IF(AND(Limits!$Q$23=TRUE,Daten!L560=1)=TRUE,1,0)</f>
        <v>0</v>
      </c>
      <c r="J560" s="174">
        <f>IF(AND(Limits!$Q$22=TRUE,Daten!K560=1)=TRUE,1,0)</f>
        <v>0</v>
      </c>
      <c r="K560" s="188">
        <f>IF(Daten!$V560=13,1,0)</f>
        <v>0</v>
      </c>
      <c r="L560" s="189">
        <f>IF(Daten!$V560&lt;&gt;Daten!$W560,1,IF(Daten!$V560=14,1,0))</f>
        <v>0</v>
      </c>
      <c r="M560" s="189">
        <f>IF(Daten!$V560&lt;&gt;Daten!$W560,1,IF(Daten!$V560=16,1,0))</f>
        <v>1</v>
      </c>
      <c r="N560" s="189">
        <f>IF(Daten!$W560=17,1,0)</f>
        <v>0</v>
      </c>
      <c r="O560" s="190">
        <f ca="1">IF(Daten!$X560=Sprache!$A$70,1,0)</f>
        <v>0</v>
      </c>
      <c r="P560" s="191">
        <f>IF(AND(Daten!$AQ560&lt;=KINVARO!$AW$3,Daten!$AR560&gt;=KINVARO!$AW$3)=TRUE,1,0)</f>
        <v>1</v>
      </c>
      <c r="Q560" s="192">
        <f>IF(AND(Daten!$AA560&lt;=KINVARO!$AW$4,Daten!$AB560&gt;=KINVARO!$AW$4)=TRUE,1,0)</f>
        <v>0</v>
      </c>
      <c r="R560" s="192"/>
      <c r="S560" s="192">
        <f>IF(AND(Daten!$AD560&lt;=Limits!$I$70,Daten!$AE560&gt;=Limits!$I$70)=TRUE,1,0)</f>
        <v>0</v>
      </c>
      <c r="T560" s="193">
        <f ca="1">IF(Daten!$Y560=Sprache!$A$135,1,0)</f>
        <v>0</v>
      </c>
      <c r="U560" s="124" t="str">
        <f ca="1">Sprache!$A$68</f>
        <v>T-65 Поворотный подъемник</v>
      </c>
      <c r="V560" s="194">
        <v>16</v>
      </c>
      <c r="W560" s="193">
        <v>16</v>
      </c>
      <c r="X560" s="187" t="str">
        <f ca="1">Sprache!$A$141</f>
        <v>Alu</v>
      </c>
      <c r="Y560" s="187" t="str">
        <f ca="1">Sprache!$A$136</f>
        <v>nein</v>
      </c>
      <c r="Z560" s="187" t="str">
        <f ca="1">Sprache!$A$79</f>
        <v>Створка</v>
      </c>
      <c r="AA560" s="187">
        <v>400</v>
      </c>
      <c r="AB560" s="124">
        <v>449</v>
      </c>
      <c r="AC560" s="187"/>
      <c r="AD560" s="195">
        <v>0.8</v>
      </c>
      <c r="AE560" s="196">
        <v>2.5</v>
      </c>
      <c r="AF560" s="263" t="str">
        <f>MID(Tabelle2[[#This Row],[bnr full]],1,4)</f>
        <v>F151</v>
      </c>
      <c r="AG560" s="264" t="str">
        <f>MID(Tabelle2[[#This Row],[bnr full]],5,3)</f>
        <v>147</v>
      </c>
      <c r="AH560" s="265" t="str">
        <f>MID(Tabelle2[[#This Row],[bnr full]],8,3)</f>
        <v>680</v>
      </c>
      <c r="AI560" s="264" t="str">
        <f>MID(Tabelle2[[#This Row],[bnr full]],11,3)</f>
        <v>201</v>
      </c>
      <c r="AJ560" s="252" t="str">
        <f>MID(Tabelle2[[#This Row],[bnr full]],11,3)</f>
        <v>201</v>
      </c>
      <c r="AK560" s="197" t="s">
        <v>807</v>
      </c>
      <c r="AL560" s="124" t="str">
        <f ca="1">Sprache!$A$111</f>
        <v>Комплект (Л + П)</v>
      </c>
      <c r="AM560" s="187" t="s">
        <v>25</v>
      </c>
      <c r="AN560" s="187" t="str">
        <f ca="1">Sprache!$A$130</f>
        <v>Пружина, желтая, двусторонняя</v>
      </c>
      <c r="AO560" s="187" t="s">
        <v>25</v>
      </c>
      <c r="AP560" s="187" t="s">
        <v>25</v>
      </c>
      <c r="AQ560" s="187">
        <f>Limits!$K$9</f>
        <v>200</v>
      </c>
      <c r="AR560" s="124">
        <v>1200</v>
      </c>
      <c r="AS560" s="187"/>
      <c r="AT560" s="124"/>
      <c r="AV560"/>
      <c r="AX560" s="10"/>
      <c r="AY560" s="11"/>
      <c r="AZ560" s="2"/>
      <c r="BC560"/>
    </row>
    <row r="561" spans="1:55" hidden="1" x14ac:dyDescent="0.25">
      <c r="A561" s="12" t="str">
        <f ca="1">IF(F561+G561+H561+I561+J561+D561+E561=3,IF(Tabelle2[[#This Row],[Kappe Weiß]]=Limits!$R$29,1,""),"")</f>
        <v/>
      </c>
      <c r="B561" s="12" t="str">
        <f ca="1">IF(G561+H561+I561+J561+E561+F561=2,IF(Tabelle2[[#This Row],[Kappe Weiß]]=Limits!$R$29,1,""),"")</f>
        <v/>
      </c>
      <c r="C561" s="291">
        <v>0</v>
      </c>
      <c r="D561" s="171">
        <f>IF(Limits!$P$6=TRUE,1,0)</f>
        <v>0</v>
      </c>
      <c r="E561" s="172">
        <f>IF(Daten!$P561+Daten!$Q561+Daten!$S561=3,1,0)</f>
        <v>0</v>
      </c>
      <c r="F561" s="173">
        <f ca="1">IF(AND(Limits!$Q$21=TRUE,Daten!O561=1)=TRUE,1,0)</f>
        <v>0</v>
      </c>
      <c r="G561" s="174">
        <f>IF(AND(Limits!$Q$25=TRUE,Daten!N561=1)=TRUE,1,0)</f>
        <v>0</v>
      </c>
      <c r="H561" s="174">
        <f>IF(AND(Limits!$Q$24=TRUE,Daten!M561=1)=TRUE,1,0)</f>
        <v>0</v>
      </c>
      <c r="I561" s="174">
        <f>IF(AND(Limits!$Q$23=TRUE,Daten!L561=1)=TRUE,1,0)</f>
        <v>0</v>
      </c>
      <c r="J561" s="174">
        <f>IF(AND(Limits!$Q$22=TRUE,Daten!K561=1)=TRUE,1,0)</f>
        <v>0</v>
      </c>
      <c r="K561" s="188">
        <f>IF(Daten!$V561=13,1,0)</f>
        <v>0</v>
      </c>
      <c r="L561" s="189">
        <f>IF(Daten!$V561&lt;&gt;Daten!$W561,1,IF(Daten!$V561=14,1,0))</f>
        <v>0</v>
      </c>
      <c r="M561" s="189">
        <f>IF(Daten!$V561&lt;&gt;Daten!$W561,1,IF(Daten!$V561=16,1,0))</f>
        <v>1</v>
      </c>
      <c r="N561" s="189">
        <f>IF(Daten!$W561=17,1,0)</f>
        <v>0</v>
      </c>
      <c r="O561" s="190">
        <f ca="1">IF(Daten!$X561=Sprache!$A$70,1,0)</f>
        <v>0</v>
      </c>
      <c r="P561" s="191">
        <f>IF(AND(Daten!$AQ561&lt;=KINVARO!$AW$3,Daten!$AR561&gt;=KINVARO!$AW$3)=TRUE,1,0)</f>
        <v>1</v>
      </c>
      <c r="Q561" s="192">
        <f>IF(AND(Daten!$AA561&lt;=KINVARO!$AW$4,Daten!$AB561&gt;=KINVARO!$AW$4)=TRUE,1,0)</f>
        <v>0</v>
      </c>
      <c r="R561" s="192"/>
      <c r="S561" s="192">
        <f>IF(AND(Daten!$AD561&lt;=Limits!$I$70,Daten!$AE561&gt;=Limits!$I$70)=TRUE,1,0)</f>
        <v>0</v>
      </c>
      <c r="T561" s="193">
        <f ca="1">IF(Daten!$Y561=Sprache!$A$135,1,0)</f>
        <v>0</v>
      </c>
      <c r="U561" s="124" t="str">
        <f ca="1">Sprache!$A$68</f>
        <v>T-65 Поворотный подъемник</v>
      </c>
      <c r="V561" s="194">
        <v>16</v>
      </c>
      <c r="W561" s="193">
        <v>16</v>
      </c>
      <c r="X561" s="187" t="str">
        <f ca="1">Sprache!$A$141</f>
        <v>Alu</v>
      </c>
      <c r="Y561" s="187" t="str">
        <f ca="1">Sprache!$A$136</f>
        <v>nein</v>
      </c>
      <c r="Z561" s="187" t="str">
        <f ca="1">Sprache!$A$79</f>
        <v>Створка</v>
      </c>
      <c r="AA561" s="187">
        <v>400</v>
      </c>
      <c r="AB561" s="124">
        <v>449</v>
      </c>
      <c r="AC561" s="187"/>
      <c r="AD561" s="195">
        <v>1.5</v>
      </c>
      <c r="AE561" s="196">
        <v>4.7</v>
      </c>
      <c r="AF561" s="263" t="str">
        <f>MID(Tabelle2[[#This Row],[bnr full]],1,4)</f>
        <v>F151</v>
      </c>
      <c r="AG561" s="264" t="str">
        <f>MID(Tabelle2[[#This Row],[bnr full]],5,3)</f>
        <v>147</v>
      </c>
      <c r="AH561" s="265" t="str">
        <f>MID(Tabelle2[[#This Row],[bnr full]],8,3)</f>
        <v>680</v>
      </c>
      <c r="AI561" s="264" t="str">
        <f>MID(Tabelle2[[#This Row],[bnr full]],11,3)</f>
        <v>201</v>
      </c>
      <c r="AJ561" s="252" t="str">
        <f>MID(Tabelle2[[#This Row],[bnr full]],11,3)</f>
        <v>201</v>
      </c>
      <c r="AK561" s="197" t="s">
        <v>807</v>
      </c>
      <c r="AL561" s="124" t="str">
        <f ca="1">Sprache!$A$111</f>
        <v>Комплект (Л + П)</v>
      </c>
      <c r="AM561" s="187" t="s">
        <v>25</v>
      </c>
      <c r="AN561" s="187" t="str">
        <f ca="1">Sprache!$A$131</f>
        <v>Пружина, черная, двусторонняя</v>
      </c>
      <c r="AO561" s="187" t="s">
        <v>25</v>
      </c>
      <c r="AP561" s="187" t="s">
        <v>25</v>
      </c>
      <c r="AQ561" s="187">
        <f>Limits!$K$9</f>
        <v>200</v>
      </c>
      <c r="AR561" s="124">
        <v>1200</v>
      </c>
      <c r="AS561" s="187"/>
      <c r="AT561" s="124"/>
      <c r="AV561"/>
      <c r="AX561" s="10"/>
      <c r="AY561" s="11"/>
      <c r="AZ561" s="2"/>
      <c r="BC561"/>
    </row>
    <row r="562" spans="1:55" hidden="1" x14ac:dyDescent="0.25">
      <c r="A562" s="12" t="str">
        <f ca="1">IF(F562+G562+H562+I562+J562+D562+E562=3,IF(Tabelle2[[#This Row],[Kappe Weiß]]=Limits!$R$29,1,""),"")</f>
        <v/>
      </c>
      <c r="B562" s="12" t="str">
        <f ca="1">IF(G562+H562+I562+J562+E562+F562=2,IF(Tabelle2[[#This Row],[Kappe Weiß]]=Limits!$R$29,1,""),"")</f>
        <v/>
      </c>
      <c r="C562" s="291">
        <v>0</v>
      </c>
      <c r="D562" s="171">
        <f>IF(Limits!$P$6=TRUE,1,0)</f>
        <v>0</v>
      </c>
      <c r="E562" s="172">
        <f>IF(Daten!$P562+Daten!$Q562+Daten!$S562=3,1,0)</f>
        <v>0</v>
      </c>
      <c r="F562" s="173">
        <f ca="1">IF(AND(Limits!$Q$21=TRUE,Daten!O562=1)=TRUE,1,0)</f>
        <v>0</v>
      </c>
      <c r="G562" s="174">
        <f>IF(AND(Limits!$Q$25=TRUE,Daten!N562=1)=TRUE,1,0)</f>
        <v>0</v>
      </c>
      <c r="H562" s="174">
        <f>IF(AND(Limits!$Q$24=TRUE,Daten!M562=1)=TRUE,1,0)</f>
        <v>0</v>
      </c>
      <c r="I562" s="174">
        <f>IF(AND(Limits!$Q$23=TRUE,Daten!L562=1)=TRUE,1,0)</f>
        <v>0</v>
      </c>
      <c r="J562" s="174">
        <f>IF(AND(Limits!$Q$22=TRUE,Daten!K562=1)=TRUE,1,0)</f>
        <v>0</v>
      </c>
      <c r="K562" s="188">
        <f>IF(Daten!$V562=13,1,0)</f>
        <v>0</v>
      </c>
      <c r="L562" s="189">
        <f>IF(Daten!$V562&lt;&gt;Daten!$W562,1,IF(Daten!$V562=14,1,0))</f>
        <v>0</v>
      </c>
      <c r="M562" s="189">
        <f>IF(Daten!$V562&lt;&gt;Daten!$W562,1,IF(Daten!$V562=16,1,0))</f>
        <v>0</v>
      </c>
      <c r="N562" s="189">
        <f>IF(Daten!$W562=17,1,0)</f>
        <v>1</v>
      </c>
      <c r="O562" s="190">
        <f ca="1">IF(Daten!$X562=Sprache!$A$70,1,0)</f>
        <v>0</v>
      </c>
      <c r="P562" s="191">
        <f>IF(AND(Daten!$AQ562&lt;=KINVARO!$AW$3,Daten!$AR562&gt;=KINVARO!$AW$3)=TRUE,1,0)</f>
        <v>1</v>
      </c>
      <c r="Q562" s="192">
        <f>IF(AND(Daten!$AA562&lt;=KINVARO!$AW$4,Daten!$AB562&gt;=KINVARO!$AW$4)=TRUE,1,0)</f>
        <v>0</v>
      </c>
      <c r="R562" s="192"/>
      <c r="S562" s="192">
        <f>IF(AND(Daten!$AD562&lt;=Limits!$I$70,Daten!$AE562&gt;=Limits!$I$70)=TRUE,1,0)</f>
        <v>0</v>
      </c>
      <c r="T562" s="193">
        <f ca="1">IF(Daten!$Y562=Sprache!$A$135,1,0)</f>
        <v>0</v>
      </c>
      <c r="U562" s="124" t="str">
        <f ca="1">Sprache!$A$68</f>
        <v>T-65 Поворотный подъемник</v>
      </c>
      <c r="V562" s="194">
        <v>17</v>
      </c>
      <c r="W562" s="193">
        <v>17</v>
      </c>
      <c r="X562" s="187" t="str">
        <f ca="1">Sprache!$A$141</f>
        <v>Alu</v>
      </c>
      <c r="Y562" s="187" t="str">
        <f ca="1">Sprache!$A$136</f>
        <v>nein</v>
      </c>
      <c r="Z562" s="187" t="str">
        <f ca="1">Sprache!$A$79</f>
        <v>Створка</v>
      </c>
      <c r="AA562" s="187">
        <v>400</v>
      </c>
      <c r="AB562" s="124">
        <v>449</v>
      </c>
      <c r="AC562" s="187"/>
      <c r="AD562" s="195">
        <v>0.8</v>
      </c>
      <c r="AE562" s="196">
        <v>2.5</v>
      </c>
      <c r="AF562" s="263" t="str">
        <f>MID(Tabelle2[[#This Row],[bnr full]],1,4)</f>
        <v>F151</v>
      </c>
      <c r="AG562" s="264" t="str">
        <f>MID(Tabelle2[[#This Row],[bnr full]],5,3)</f>
        <v>147</v>
      </c>
      <c r="AH562" s="265" t="str">
        <f>MID(Tabelle2[[#This Row],[bnr full]],8,3)</f>
        <v>681</v>
      </c>
      <c r="AI562" s="264" t="str">
        <f>MID(Tabelle2[[#This Row],[bnr full]],11,3)</f>
        <v>201</v>
      </c>
      <c r="AJ562" s="252" t="str">
        <f>MID(Tabelle2[[#This Row],[bnr full]],11,3)</f>
        <v>201</v>
      </c>
      <c r="AK562" s="197" t="s">
        <v>808</v>
      </c>
      <c r="AL562" s="124" t="str">
        <f ca="1">Sprache!$A$111</f>
        <v>Комплект (Л + П)</v>
      </c>
      <c r="AM562" s="187" t="s">
        <v>25</v>
      </c>
      <c r="AN562" s="187" t="str">
        <f ca="1">Sprache!$A$130</f>
        <v>Пружина, желтая, двусторонняя</v>
      </c>
      <c r="AO562" s="187" t="s">
        <v>25</v>
      </c>
      <c r="AP562" s="187" t="s">
        <v>25</v>
      </c>
      <c r="AQ562" s="187">
        <f>Limits!$K$9</f>
        <v>200</v>
      </c>
      <c r="AR562" s="124">
        <v>1200</v>
      </c>
      <c r="AS562" s="187"/>
      <c r="AT562" s="124"/>
      <c r="AV562"/>
      <c r="AX562" s="10"/>
      <c r="AY562" s="11"/>
      <c r="AZ562" s="2"/>
      <c r="BC562"/>
    </row>
    <row r="563" spans="1:55" hidden="1" x14ac:dyDescent="0.25">
      <c r="A563" s="12" t="str">
        <f ca="1">IF(F563+G563+H563+I563+J563+D563+E563=3,IF(Tabelle2[[#This Row],[Kappe Weiß]]=Limits!$R$29,1,""),"")</f>
        <v/>
      </c>
      <c r="B563" s="12" t="str">
        <f ca="1">IF(G563+H563+I563+J563+E563+F563=2,IF(Tabelle2[[#This Row],[Kappe Weiß]]=Limits!$R$29,1,""),"")</f>
        <v/>
      </c>
      <c r="C563" s="291">
        <v>0</v>
      </c>
      <c r="D563" s="171">
        <f>IF(Limits!$P$6=TRUE,1,0)</f>
        <v>0</v>
      </c>
      <c r="E563" s="172">
        <f>IF(Daten!$P563+Daten!$Q563+Daten!$S563=3,1,0)</f>
        <v>0</v>
      </c>
      <c r="F563" s="173">
        <f ca="1">IF(AND(Limits!$Q$21=TRUE,Daten!O563=1)=TRUE,1,0)</f>
        <v>0</v>
      </c>
      <c r="G563" s="174">
        <f>IF(AND(Limits!$Q$25=TRUE,Daten!N563=1)=TRUE,1,0)</f>
        <v>0</v>
      </c>
      <c r="H563" s="174">
        <f>IF(AND(Limits!$Q$24=TRUE,Daten!M563=1)=TRUE,1,0)</f>
        <v>0</v>
      </c>
      <c r="I563" s="174">
        <f>IF(AND(Limits!$Q$23=TRUE,Daten!L563=1)=TRUE,1,0)</f>
        <v>0</v>
      </c>
      <c r="J563" s="174">
        <f>IF(AND(Limits!$Q$22=TRUE,Daten!K563=1)=TRUE,1,0)</f>
        <v>0</v>
      </c>
      <c r="K563" s="188">
        <f>IF(Daten!$V563=13,1,0)</f>
        <v>0</v>
      </c>
      <c r="L563" s="189">
        <f>IF(Daten!$V563&lt;&gt;Daten!$W563,1,IF(Daten!$V563=14,1,0))</f>
        <v>0</v>
      </c>
      <c r="M563" s="189">
        <f>IF(Daten!$V563&lt;&gt;Daten!$W563,1,IF(Daten!$V563=16,1,0))</f>
        <v>0</v>
      </c>
      <c r="N563" s="189">
        <f>IF(Daten!$W563=17,1,0)</f>
        <v>1</v>
      </c>
      <c r="O563" s="190">
        <f ca="1">IF(Daten!$X563=Sprache!$A$70,1,0)</f>
        <v>0</v>
      </c>
      <c r="P563" s="191">
        <f>IF(AND(Daten!$AQ563&lt;=KINVARO!$AW$3,Daten!$AR563&gt;=KINVARO!$AW$3)=TRUE,1,0)</f>
        <v>1</v>
      </c>
      <c r="Q563" s="192">
        <f>IF(AND(Daten!$AA563&lt;=KINVARO!$AW$4,Daten!$AB563&gt;=KINVARO!$AW$4)=TRUE,1,0)</f>
        <v>0</v>
      </c>
      <c r="R563" s="192"/>
      <c r="S563" s="192">
        <f>IF(AND(Daten!$AD563&lt;=Limits!$I$70,Daten!$AE563&gt;=Limits!$I$70)=TRUE,1,0)</f>
        <v>0</v>
      </c>
      <c r="T563" s="193">
        <f ca="1">IF(Daten!$Y563=Sprache!$A$135,1,0)</f>
        <v>0</v>
      </c>
      <c r="U563" s="124" t="str">
        <f ca="1">Sprache!$A$68</f>
        <v>T-65 Поворотный подъемник</v>
      </c>
      <c r="V563" s="194">
        <v>17</v>
      </c>
      <c r="W563" s="193">
        <v>17</v>
      </c>
      <c r="X563" s="187" t="str">
        <f ca="1">Sprache!$A$141</f>
        <v>Alu</v>
      </c>
      <c r="Y563" s="187" t="str">
        <f ca="1">Sprache!$A$136</f>
        <v>nein</v>
      </c>
      <c r="Z563" s="187" t="str">
        <f ca="1">Sprache!$A$79</f>
        <v>Створка</v>
      </c>
      <c r="AA563" s="187">
        <v>400</v>
      </c>
      <c r="AB563" s="124">
        <v>449</v>
      </c>
      <c r="AC563" s="187"/>
      <c r="AD563" s="195">
        <v>1.5</v>
      </c>
      <c r="AE563" s="196">
        <v>4.7</v>
      </c>
      <c r="AF563" s="263" t="str">
        <f>MID(Tabelle2[[#This Row],[bnr full]],1,4)</f>
        <v>F151</v>
      </c>
      <c r="AG563" s="264" t="str">
        <f>MID(Tabelle2[[#This Row],[bnr full]],5,3)</f>
        <v>147</v>
      </c>
      <c r="AH563" s="265" t="str">
        <f>MID(Tabelle2[[#This Row],[bnr full]],8,3)</f>
        <v>681</v>
      </c>
      <c r="AI563" s="264" t="str">
        <f>MID(Tabelle2[[#This Row],[bnr full]],11,3)</f>
        <v>201</v>
      </c>
      <c r="AJ563" s="252" t="str">
        <f>MID(Tabelle2[[#This Row],[bnr full]],11,3)</f>
        <v>201</v>
      </c>
      <c r="AK563" s="197" t="s">
        <v>808</v>
      </c>
      <c r="AL563" s="124" t="str">
        <f ca="1">Sprache!$A$111</f>
        <v>Комплект (Л + П)</v>
      </c>
      <c r="AM563" s="187" t="s">
        <v>25</v>
      </c>
      <c r="AN563" s="187" t="str">
        <f ca="1">Sprache!$A$131</f>
        <v>Пружина, черная, двусторонняя</v>
      </c>
      <c r="AO563" s="187" t="s">
        <v>25</v>
      </c>
      <c r="AP563" s="187" t="s">
        <v>25</v>
      </c>
      <c r="AQ563" s="187">
        <f>Limits!$K$9</f>
        <v>200</v>
      </c>
      <c r="AR563" s="124">
        <v>1200</v>
      </c>
      <c r="AS563" s="187"/>
      <c r="AT563" s="124"/>
      <c r="AV563"/>
      <c r="AX563" s="10"/>
      <c r="AY563" s="11"/>
      <c r="AZ563" s="2"/>
      <c r="BC563"/>
    </row>
    <row r="564" spans="1:55" hidden="1" x14ac:dyDescent="0.25">
      <c r="A564" s="12" t="str">
        <f ca="1">IF(F564+G564+H564+I564+J564+D564+E564=3,IF(Tabelle2[[#This Row],[Kappe Weiß]]=Limits!$R$29,1,""),"")</f>
        <v/>
      </c>
      <c r="B564" s="12" t="str">
        <f ca="1">IF(G564+H564+I564+J564+E564+F564=2,IF(Tabelle2[[#This Row],[Kappe Weiß]]=Limits!$R$29,1,""),"")</f>
        <v/>
      </c>
      <c r="C564" s="292">
        <v>0</v>
      </c>
      <c r="D564" s="171">
        <f>IF(Limits!$P$6=TRUE,1,0)</f>
        <v>0</v>
      </c>
      <c r="E564" s="172">
        <f>IF(Daten!$P564+Daten!$Q564+Daten!$S564=3,1,0)</f>
        <v>0</v>
      </c>
      <c r="F564" s="173">
        <f ca="1">IF(AND(Limits!$Q$21=TRUE,Daten!O564=1)=TRUE,1,0)</f>
        <v>1</v>
      </c>
      <c r="G564" s="174">
        <f ca="1">IF(AND(Limits!$Q$25=TRUE,Daten!N564=1)=TRUE,1,0)</f>
        <v>0</v>
      </c>
      <c r="H564" s="174">
        <f ca="1">IF(AND(Limits!$Q$24=TRUE,Daten!M564=1)=TRUE,1,0)</f>
        <v>0</v>
      </c>
      <c r="I564" s="174">
        <f ca="1">IF(AND(Limits!$Q$23=TRUE,Daten!L564=1)=TRUE,1,0)</f>
        <v>0</v>
      </c>
      <c r="J564" s="174">
        <f ca="1">IF(AND(Limits!$Q$22=TRUE,Daten!K564=1)=TRUE,1,0)</f>
        <v>0</v>
      </c>
      <c r="K564" s="188">
        <f ca="1">IF(Daten!$V564=13,1,0)</f>
        <v>0</v>
      </c>
      <c r="L564" s="189">
        <f ca="1">IF(Daten!$V564&lt;&gt;Daten!$W564,1,IF(Daten!$V564=14,1,0))</f>
        <v>0</v>
      </c>
      <c r="M564" s="189">
        <f ca="1">IF(Daten!$V564&lt;&gt;Daten!$W564,1,IF(Daten!$V564=16,1,0))</f>
        <v>0</v>
      </c>
      <c r="N564" s="189">
        <f ca="1">IF(Daten!$W564=17,1,0)</f>
        <v>0</v>
      </c>
      <c r="O564" s="190">
        <f ca="1">IF(Daten!$X564=Sprache!$A$70,1,0)</f>
        <v>1</v>
      </c>
      <c r="P564" s="198">
        <f>IF(AND(Daten!$AQ564&lt;=KINVARO!$AW$3,Daten!$AR564&gt;=KINVARO!$AW$3)=TRUE,1,0)</f>
        <v>1</v>
      </c>
      <c r="Q564" s="199">
        <f>IF(AND(Daten!$AA564&lt;=KINVARO!$AW$4,Daten!$AB564&gt;=KINVARO!$AW$4)=TRUE,1,0)</f>
        <v>0</v>
      </c>
      <c r="R564" s="199"/>
      <c r="S564" s="199">
        <f>IF(AND(Daten!$AD564&lt;=Limits!$I$70,Daten!$AE564&gt;=Limits!$I$70)=TRUE,1,0)</f>
        <v>0</v>
      </c>
      <c r="T564" s="200">
        <f ca="1">IF(Daten!$Y564=Sprache!$A$135,1,0)</f>
        <v>0</v>
      </c>
      <c r="U564" s="201" t="str">
        <f ca="1">Sprache!$A$68</f>
        <v>T-65 Поворотный подъемник</v>
      </c>
      <c r="V564" s="202" t="str">
        <f ca="1">Sprache!$A$74</f>
        <v>var</v>
      </c>
      <c r="W564" s="200" t="str">
        <f ca="1">Sprache!$A$74</f>
        <v>var</v>
      </c>
      <c r="X564" s="203" t="str">
        <f ca="1">Sprache!$A$70</f>
        <v>соединение с древесиной</v>
      </c>
      <c r="Y564" s="187" t="str">
        <f ca="1">Sprache!$A$136</f>
        <v>nein</v>
      </c>
      <c r="Z564" s="203" t="str">
        <f ca="1">Sprache!$A$79</f>
        <v>Створка</v>
      </c>
      <c r="AA564" s="203">
        <v>450</v>
      </c>
      <c r="AB564" s="201">
        <v>499</v>
      </c>
      <c r="AC564" s="203"/>
      <c r="AD564" s="204">
        <v>0.7</v>
      </c>
      <c r="AE564" s="205">
        <v>2.2000000000000002</v>
      </c>
      <c r="AF564" s="266" t="str">
        <f>MID(Tabelle2[[#This Row],[bnr full]],1,4)</f>
        <v>F151</v>
      </c>
      <c r="AG564" s="267" t="str">
        <f>MID(Tabelle2[[#This Row],[bnr full]],5,3)</f>
        <v>147</v>
      </c>
      <c r="AH564" s="268" t="str">
        <f>MID(Tabelle2[[#This Row],[bnr full]],8,3)</f>
        <v>682</v>
      </c>
      <c r="AI564" s="267" t="str">
        <f>MID(Tabelle2[[#This Row],[bnr full]],11,3)</f>
        <v>201</v>
      </c>
      <c r="AJ564" s="253" t="str">
        <f>MID(Tabelle2[[#This Row],[bnr full]],11,3)</f>
        <v>201</v>
      </c>
      <c r="AK564" s="206" t="s">
        <v>804</v>
      </c>
      <c r="AL564" s="201" t="str">
        <f ca="1">Sprache!$A$111</f>
        <v>Комплект (Л + П)</v>
      </c>
      <c r="AM564" s="203" t="s">
        <v>25</v>
      </c>
      <c r="AN564" s="203" t="str">
        <f ca="1">Sprache!$A$130</f>
        <v>Пружина, желтая, двусторонняя</v>
      </c>
      <c r="AO564" s="187" t="s">
        <v>25</v>
      </c>
      <c r="AP564" s="187" t="s">
        <v>25</v>
      </c>
      <c r="AQ564" s="203">
        <f>Limits!$K$9</f>
        <v>200</v>
      </c>
      <c r="AR564" s="201">
        <v>1200</v>
      </c>
      <c r="AS564" s="187"/>
      <c r="AT564" s="124"/>
      <c r="AV564"/>
      <c r="AX564" s="10"/>
      <c r="AY564" s="11"/>
      <c r="AZ564" s="2"/>
      <c r="BC564"/>
    </row>
    <row r="565" spans="1:55" hidden="1" x14ac:dyDescent="0.25">
      <c r="A565" s="12" t="str">
        <f ca="1">IF(F565+G565+H565+I565+J565+D565+E565=3,IF(Tabelle2[[#This Row],[Kappe Weiß]]=Limits!$R$29,1,""),"")</f>
        <v/>
      </c>
      <c r="B565" s="12" t="str">
        <f ca="1">IF(G565+H565+I565+J565+E565+F565=2,IF(Tabelle2[[#This Row],[Kappe Weiß]]=Limits!$R$29,1,""),"")</f>
        <v/>
      </c>
      <c r="C565" s="291">
        <v>0</v>
      </c>
      <c r="D565" s="171">
        <f>IF(Limits!$P$6=TRUE,1,0)</f>
        <v>0</v>
      </c>
      <c r="E565" s="172">
        <f>IF(Daten!$P565+Daten!$Q565+Daten!$S565=3,1,0)</f>
        <v>0</v>
      </c>
      <c r="F565" s="173">
        <f ca="1">IF(AND(Limits!$Q$21=TRUE,Daten!O565=1)=TRUE,1,0)</f>
        <v>1</v>
      </c>
      <c r="G565" s="174">
        <f ca="1">IF(AND(Limits!$Q$25=TRUE,Daten!N565=1)=TRUE,1,0)</f>
        <v>0</v>
      </c>
      <c r="H565" s="174">
        <f ca="1">IF(AND(Limits!$Q$24=TRUE,Daten!M565=1)=TRUE,1,0)</f>
        <v>0</v>
      </c>
      <c r="I565" s="174">
        <f ca="1">IF(AND(Limits!$Q$23=TRUE,Daten!L565=1)=TRUE,1,0)</f>
        <v>0</v>
      </c>
      <c r="J565" s="174">
        <f ca="1">IF(AND(Limits!$Q$22=TRUE,Daten!K565=1)=TRUE,1,0)</f>
        <v>0</v>
      </c>
      <c r="K565" s="188">
        <f ca="1">IF(Daten!$V565=13,1,0)</f>
        <v>0</v>
      </c>
      <c r="L565" s="189">
        <f ca="1">IF(Daten!$V565&lt;&gt;Daten!$W565,1,IF(Daten!$V565=14,1,0))</f>
        <v>0</v>
      </c>
      <c r="M565" s="189">
        <f ca="1">IF(Daten!$V565&lt;&gt;Daten!$W565,1,IF(Daten!$V565=16,1,0))</f>
        <v>0</v>
      </c>
      <c r="N565" s="189">
        <f ca="1">IF(Daten!$W565=17,1,0)</f>
        <v>0</v>
      </c>
      <c r="O565" s="190">
        <f ca="1">IF(Daten!$X565=Sprache!$A$70,1,0)</f>
        <v>1</v>
      </c>
      <c r="P565" s="191">
        <f>IF(AND(Daten!$AQ565&lt;=KINVARO!$AW$3,Daten!$AR565&gt;=KINVARO!$AW$3)=TRUE,1,0)</f>
        <v>1</v>
      </c>
      <c r="Q565" s="192">
        <f>IF(AND(Daten!$AA565&lt;=KINVARO!$AW$4,Daten!$AB565&gt;=KINVARO!$AW$4)=TRUE,1,0)</f>
        <v>0</v>
      </c>
      <c r="R565" s="192"/>
      <c r="S565" s="192">
        <f>IF(AND(Daten!$AD565&lt;=Limits!$I$70,Daten!$AE565&gt;=Limits!$I$70)=TRUE,1,0)</f>
        <v>0</v>
      </c>
      <c r="T565" s="193">
        <f ca="1">IF(Daten!$Y565=Sprache!$A$135,1,0)</f>
        <v>0</v>
      </c>
      <c r="U565" s="124" t="str">
        <f ca="1">Sprache!$A$68</f>
        <v>T-65 Поворотный подъемник</v>
      </c>
      <c r="V565" s="194" t="str">
        <f ca="1">Sprache!$A$74</f>
        <v>var</v>
      </c>
      <c r="W565" s="193" t="str">
        <f ca="1">Sprache!$A$74</f>
        <v>var</v>
      </c>
      <c r="X565" s="187" t="str">
        <f ca="1">Sprache!$A$70</f>
        <v>соединение с древесиной</v>
      </c>
      <c r="Y565" s="187" t="str">
        <f ca="1">Sprache!$A$136</f>
        <v>nein</v>
      </c>
      <c r="Z565" s="187" t="str">
        <f ca="1">Sprache!$A$79</f>
        <v>Створка</v>
      </c>
      <c r="AA565" s="187">
        <v>450</v>
      </c>
      <c r="AB565" s="124">
        <v>499</v>
      </c>
      <c r="AC565" s="187"/>
      <c r="AD565" s="195">
        <v>1.3</v>
      </c>
      <c r="AE565" s="196">
        <v>4.2</v>
      </c>
      <c r="AF565" s="263" t="str">
        <f>MID(Tabelle2[[#This Row],[bnr full]],1,4)</f>
        <v>F151</v>
      </c>
      <c r="AG565" s="264" t="str">
        <f>MID(Tabelle2[[#This Row],[bnr full]],5,3)</f>
        <v>147</v>
      </c>
      <c r="AH565" s="265" t="str">
        <f>MID(Tabelle2[[#This Row],[bnr full]],8,3)</f>
        <v>682</v>
      </c>
      <c r="AI565" s="264" t="str">
        <f>MID(Tabelle2[[#This Row],[bnr full]],11,3)</f>
        <v>201</v>
      </c>
      <c r="AJ565" s="252" t="str">
        <f>MID(Tabelle2[[#This Row],[bnr full]],11,3)</f>
        <v>201</v>
      </c>
      <c r="AK565" s="197" t="s">
        <v>804</v>
      </c>
      <c r="AL565" s="124" t="str">
        <f ca="1">Sprache!$A$111</f>
        <v>Комплект (Л + П)</v>
      </c>
      <c r="AM565" s="187" t="s">
        <v>25</v>
      </c>
      <c r="AN565" s="187" t="str">
        <f ca="1">Sprache!$A$131</f>
        <v>Пружина, черная, двусторонняя</v>
      </c>
      <c r="AO565" s="187" t="s">
        <v>25</v>
      </c>
      <c r="AP565" s="187" t="s">
        <v>25</v>
      </c>
      <c r="AQ565" s="187">
        <f>Limits!$K$9</f>
        <v>200</v>
      </c>
      <c r="AR565" s="124">
        <v>1200</v>
      </c>
      <c r="AS565" s="187"/>
      <c r="AT565" s="124"/>
      <c r="AV565"/>
      <c r="AX565" s="10"/>
      <c r="AY565" s="11"/>
      <c r="AZ565" s="2"/>
      <c r="BC565"/>
    </row>
    <row r="566" spans="1:55" hidden="1" x14ac:dyDescent="0.25">
      <c r="A566" s="12" t="str">
        <f ca="1">IF(F566+G566+H566+I566+J566+D566+E566=3,IF(Tabelle2[[#This Row],[Kappe Weiß]]=Limits!$R$29,1,""),"")</f>
        <v/>
      </c>
      <c r="B566" s="12" t="str">
        <f ca="1">IF(G566+H566+I566+J566+E566+F566=2,IF(Tabelle2[[#This Row],[Kappe Weiß]]=Limits!$R$29,1,""),"")</f>
        <v/>
      </c>
      <c r="C566" s="291">
        <v>0</v>
      </c>
      <c r="D566" s="171">
        <f>IF(Limits!$P$6=TRUE,1,0)</f>
        <v>0</v>
      </c>
      <c r="E566" s="172">
        <f>IF(Daten!$P566+Daten!$Q566+Daten!$S566=3,1,0)</f>
        <v>0</v>
      </c>
      <c r="F566" s="173">
        <f ca="1">IF(AND(Limits!$Q$21=TRUE,Daten!O566=1)=TRUE,1,0)</f>
        <v>0</v>
      </c>
      <c r="G566" s="174">
        <f>IF(AND(Limits!$Q$25=TRUE,Daten!N566=1)=TRUE,1,0)</f>
        <v>0</v>
      </c>
      <c r="H566" s="174">
        <f>IF(AND(Limits!$Q$24=TRUE,Daten!M566=1)=TRUE,1,0)</f>
        <v>0</v>
      </c>
      <c r="I566" s="174">
        <f>IF(AND(Limits!$Q$23=TRUE,Daten!L566=1)=TRUE,1,0)</f>
        <v>0</v>
      </c>
      <c r="J566" s="174">
        <f>IF(AND(Limits!$Q$22=TRUE,Daten!K566=1)=TRUE,1,0)</f>
        <v>0</v>
      </c>
      <c r="K566" s="188">
        <f>IF(Daten!$V566=13,1,0)</f>
        <v>1</v>
      </c>
      <c r="L566" s="189">
        <f>IF(Daten!$V566&lt;&gt;Daten!$W566,1,IF(Daten!$V566=14,1,0))</f>
        <v>0</v>
      </c>
      <c r="M566" s="189">
        <f>IF(Daten!$V566&lt;&gt;Daten!$W566,1,IF(Daten!$V566=16,1,0))</f>
        <v>0</v>
      </c>
      <c r="N566" s="189">
        <f>IF(Daten!$W566=17,1,0)</f>
        <v>0</v>
      </c>
      <c r="O566" s="190">
        <f ca="1">IF(Daten!$X566=Sprache!$A$70,1,0)</f>
        <v>0</v>
      </c>
      <c r="P566" s="191">
        <f>IF(AND(Daten!$AQ566&lt;=KINVARO!$AW$3,Daten!$AR566&gt;=KINVARO!$AW$3)=TRUE,1,0)</f>
        <v>1</v>
      </c>
      <c r="Q566" s="192">
        <f>IF(AND(Daten!$AA566&lt;=KINVARO!$AW$4,Daten!$AB566&gt;=KINVARO!$AW$4)=TRUE,1,0)</f>
        <v>0</v>
      </c>
      <c r="R566" s="192"/>
      <c r="S566" s="192">
        <f>IF(AND(Daten!$AD566&lt;=Limits!$I$70,Daten!$AE566&gt;=Limits!$I$70)=TRUE,1,0)</f>
        <v>0</v>
      </c>
      <c r="T566" s="193">
        <f ca="1">IF(Daten!$Y566=Sprache!$A$135,1,0)</f>
        <v>0</v>
      </c>
      <c r="U566" s="124" t="str">
        <f ca="1">Sprache!$A$68</f>
        <v>T-65 Поворотный подъемник</v>
      </c>
      <c r="V566" s="194">
        <v>13</v>
      </c>
      <c r="W566" s="193">
        <v>13</v>
      </c>
      <c r="X566" s="187" t="str">
        <f ca="1">Sprache!$A$141</f>
        <v>Alu</v>
      </c>
      <c r="Y566" s="187" t="str">
        <f ca="1">Sprache!$A$136</f>
        <v>nein</v>
      </c>
      <c r="Z566" s="187" t="str">
        <f ca="1">Sprache!$A$79</f>
        <v>Створка</v>
      </c>
      <c r="AA566" s="187">
        <v>450</v>
      </c>
      <c r="AB566" s="124">
        <v>499</v>
      </c>
      <c r="AC566" s="187"/>
      <c r="AD566" s="195">
        <v>0.7</v>
      </c>
      <c r="AE566" s="196">
        <v>2.2000000000000002</v>
      </c>
      <c r="AF566" s="263" t="str">
        <f>MID(Tabelle2[[#This Row],[bnr full]],1,4)</f>
        <v>F151</v>
      </c>
      <c r="AG566" s="264" t="str">
        <f>MID(Tabelle2[[#This Row],[bnr full]],5,3)</f>
        <v>147</v>
      </c>
      <c r="AH566" s="265" t="str">
        <f>MID(Tabelle2[[#This Row],[bnr full]],8,3)</f>
        <v>678</v>
      </c>
      <c r="AI566" s="264" t="str">
        <f>MID(Tabelle2[[#This Row],[bnr full]],11,3)</f>
        <v>201</v>
      </c>
      <c r="AJ566" s="252" t="str">
        <f>MID(Tabelle2[[#This Row],[bnr full]],11,3)</f>
        <v>201</v>
      </c>
      <c r="AK566" s="197" t="s">
        <v>805</v>
      </c>
      <c r="AL566" s="124" t="str">
        <f ca="1">Sprache!$A$111</f>
        <v>Комплект (Л + П)</v>
      </c>
      <c r="AM566" s="187" t="s">
        <v>25</v>
      </c>
      <c r="AN566" s="187" t="str">
        <f ca="1">Sprache!$A$130</f>
        <v>Пружина, желтая, двусторонняя</v>
      </c>
      <c r="AO566" s="187" t="s">
        <v>25</v>
      </c>
      <c r="AP566" s="187" t="s">
        <v>25</v>
      </c>
      <c r="AQ566" s="187">
        <f>Limits!$K$9</f>
        <v>200</v>
      </c>
      <c r="AR566" s="124">
        <v>1200</v>
      </c>
      <c r="AS566" s="187"/>
      <c r="AT566" s="124"/>
      <c r="AV566"/>
      <c r="AX566" s="10"/>
      <c r="AY566" s="11"/>
      <c r="AZ566" s="2"/>
      <c r="BC566"/>
    </row>
    <row r="567" spans="1:55" hidden="1" x14ac:dyDescent="0.25">
      <c r="A567" s="12" t="str">
        <f ca="1">IF(F567+G567+H567+I567+J567+D567+E567=3,IF(Tabelle2[[#This Row],[Kappe Weiß]]=Limits!$R$29,1,""),"")</f>
        <v/>
      </c>
      <c r="B567" s="12" t="str">
        <f ca="1">IF(G567+H567+I567+J567+E567+F567=2,IF(Tabelle2[[#This Row],[Kappe Weiß]]=Limits!$R$29,1,""),"")</f>
        <v/>
      </c>
      <c r="C567" s="291">
        <v>0</v>
      </c>
      <c r="D567" s="171">
        <f>IF(Limits!$P$6=TRUE,1,0)</f>
        <v>0</v>
      </c>
      <c r="E567" s="172">
        <f>IF(Daten!$P567+Daten!$Q567+Daten!$S567=3,1,0)</f>
        <v>0</v>
      </c>
      <c r="F567" s="173">
        <f ca="1">IF(AND(Limits!$Q$21=TRUE,Daten!O567=1)=TRUE,1,0)</f>
        <v>0</v>
      </c>
      <c r="G567" s="174">
        <f>IF(AND(Limits!$Q$25=TRUE,Daten!N567=1)=TRUE,1,0)</f>
        <v>0</v>
      </c>
      <c r="H567" s="174">
        <f>IF(AND(Limits!$Q$24=TRUE,Daten!M567=1)=TRUE,1,0)</f>
        <v>0</v>
      </c>
      <c r="I567" s="174">
        <f>IF(AND(Limits!$Q$23=TRUE,Daten!L567=1)=TRUE,1,0)</f>
        <v>0</v>
      </c>
      <c r="J567" s="174">
        <f>IF(AND(Limits!$Q$22=TRUE,Daten!K567=1)=TRUE,1,0)</f>
        <v>0</v>
      </c>
      <c r="K567" s="188">
        <f>IF(Daten!$V567=13,1,0)</f>
        <v>1</v>
      </c>
      <c r="L567" s="189">
        <f>IF(Daten!$V567&lt;&gt;Daten!$W567,1,IF(Daten!$V567=14,1,0))</f>
        <v>0</v>
      </c>
      <c r="M567" s="189">
        <f>IF(Daten!$V567&lt;&gt;Daten!$W567,1,IF(Daten!$V567=16,1,0))</f>
        <v>0</v>
      </c>
      <c r="N567" s="189">
        <f>IF(Daten!$W567=17,1,0)</f>
        <v>0</v>
      </c>
      <c r="O567" s="190">
        <f ca="1">IF(Daten!$X567=Sprache!$A$70,1,0)</f>
        <v>0</v>
      </c>
      <c r="P567" s="191">
        <f>IF(AND(Daten!$AQ567&lt;=KINVARO!$AW$3,Daten!$AR567&gt;=KINVARO!$AW$3)=TRUE,1,0)</f>
        <v>1</v>
      </c>
      <c r="Q567" s="192">
        <f>IF(AND(Daten!$AA567&lt;=KINVARO!$AW$4,Daten!$AB567&gt;=KINVARO!$AW$4)=TRUE,1,0)</f>
        <v>0</v>
      </c>
      <c r="R567" s="192"/>
      <c r="S567" s="192">
        <f>IF(AND(Daten!$AD567&lt;=Limits!$I$70,Daten!$AE567&gt;=Limits!$I$70)=TRUE,1,0)</f>
        <v>0</v>
      </c>
      <c r="T567" s="193">
        <f ca="1">IF(Daten!$Y567=Sprache!$A$135,1,0)</f>
        <v>0</v>
      </c>
      <c r="U567" s="124" t="str">
        <f ca="1">Sprache!$A$68</f>
        <v>T-65 Поворотный подъемник</v>
      </c>
      <c r="V567" s="194">
        <v>13</v>
      </c>
      <c r="W567" s="193">
        <v>13</v>
      </c>
      <c r="X567" s="187" t="str">
        <f ca="1">Sprache!$A$141</f>
        <v>Alu</v>
      </c>
      <c r="Y567" s="187" t="str">
        <f ca="1">Sprache!$A$136</f>
        <v>nein</v>
      </c>
      <c r="Z567" s="187" t="str">
        <f ca="1">Sprache!$A$79</f>
        <v>Створка</v>
      </c>
      <c r="AA567" s="187">
        <v>450</v>
      </c>
      <c r="AB567" s="124">
        <v>499</v>
      </c>
      <c r="AC567" s="187"/>
      <c r="AD567" s="195">
        <v>1.3</v>
      </c>
      <c r="AE567" s="196">
        <v>4.2</v>
      </c>
      <c r="AF567" s="263" t="str">
        <f>MID(Tabelle2[[#This Row],[bnr full]],1,4)</f>
        <v>F151</v>
      </c>
      <c r="AG567" s="264" t="str">
        <f>MID(Tabelle2[[#This Row],[bnr full]],5,3)</f>
        <v>147</v>
      </c>
      <c r="AH567" s="265" t="str">
        <f>MID(Tabelle2[[#This Row],[bnr full]],8,3)</f>
        <v>678</v>
      </c>
      <c r="AI567" s="264" t="str">
        <f>MID(Tabelle2[[#This Row],[bnr full]],11,3)</f>
        <v>201</v>
      </c>
      <c r="AJ567" s="252" t="str">
        <f>MID(Tabelle2[[#This Row],[bnr full]],11,3)</f>
        <v>201</v>
      </c>
      <c r="AK567" s="197" t="s">
        <v>805</v>
      </c>
      <c r="AL567" s="124" t="str">
        <f ca="1">Sprache!$A$111</f>
        <v>Комплект (Л + П)</v>
      </c>
      <c r="AM567" s="187" t="s">
        <v>25</v>
      </c>
      <c r="AN567" s="187" t="str">
        <f ca="1">Sprache!$A$131</f>
        <v>Пружина, черная, двусторонняя</v>
      </c>
      <c r="AO567" s="187" t="s">
        <v>25</v>
      </c>
      <c r="AP567" s="187" t="s">
        <v>25</v>
      </c>
      <c r="AQ567" s="187">
        <f>Limits!$K$9</f>
        <v>200</v>
      </c>
      <c r="AR567" s="124">
        <v>1200</v>
      </c>
      <c r="AS567" s="187"/>
      <c r="AT567" s="124"/>
      <c r="AV567"/>
      <c r="AX567" s="10"/>
      <c r="AY567" s="11"/>
      <c r="AZ567" s="2"/>
      <c r="BC567"/>
    </row>
    <row r="568" spans="1:55" hidden="1" x14ac:dyDescent="0.25">
      <c r="A568" s="12" t="str">
        <f ca="1">IF(F568+G568+H568+I568+J568+D568+E568=3,IF(Tabelle2[[#This Row],[Kappe Weiß]]=Limits!$R$29,1,""),"")</f>
        <v/>
      </c>
      <c r="B568" s="12" t="str">
        <f ca="1">IF(G568+H568+I568+J568+E568+F568=2,IF(Tabelle2[[#This Row],[Kappe Weiß]]=Limits!$R$29,1,""),"")</f>
        <v/>
      </c>
      <c r="C568" s="291">
        <v>0</v>
      </c>
      <c r="D568" s="171">
        <f>IF(Limits!$P$6=TRUE,1,0)</f>
        <v>0</v>
      </c>
      <c r="E568" s="172">
        <f>IF(Daten!$P568+Daten!$Q568+Daten!$S568=3,1,0)</f>
        <v>0</v>
      </c>
      <c r="F568" s="173">
        <f ca="1">IF(AND(Limits!$Q$21=TRUE,Daten!O568=1)=TRUE,1,0)</f>
        <v>0</v>
      </c>
      <c r="G568" s="174">
        <f>IF(AND(Limits!$Q$25=TRUE,Daten!N568=1)=TRUE,1,0)</f>
        <v>0</v>
      </c>
      <c r="H568" s="174">
        <f>IF(AND(Limits!$Q$24=TRUE,Daten!M568=1)=TRUE,1,0)</f>
        <v>0</v>
      </c>
      <c r="I568" s="174">
        <f>IF(AND(Limits!$Q$23=TRUE,Daten!L568=1)=TRUE,1,0)</f>
        <v>0</v>
      </c>
      <c r="J568" s="174">
        <f>IF(AND(Limits!$Q$22=TRUE,Daten!K568=1)=TRUE,1,0)</f>
        <v>0</v>
      </c>
      <c r="K568" s="188">
        <f>IF(Daten!$V568=13,1,0)</f>
        <v>0</v>
      </c>
      <c r="L568" s="189">
        <f>IF(Daten!$V568&lt;&gt;Daten!$W568,1,IF(Daten!$V568=14,1,0))</f>
        <v>1</v>
      </c>
      <c r="M568" s="189">
        <f>IF(Daten!$V568&lt;&gt;Daten!$W568,1,IF(Daten!$V568=16,1,0))</f>
        <v>0</v>
      </c>
      <c r="N568" s="189">
        <f>IF(Daten!$W568=17,1,0)</f>
        <v>0</v>
      </c>
      <c r="O568" s="190">
        <f ca="1">IF(Daten!$X568=Sprache!$A$70,1,0)</f>
        <v>0</v>
      </c>
      <c r="P568" s="191">
        <f>IF(AND(Daten!$AQ568&lt;=KINVARO!$AW$3,Daten!$AR568&gt;=KINVARO!$AW$3)=TRUE,1,0)</f>
        <v>1</v>
      </c>
      <c r="Q568" s="192">
        <f>IF(AND(Daten!$AA568&lt;=KINVARO!$AW$4,Daten!$AB568&gt;=KINVARO!$AW$4)=TRUE,1,0)</f>
        <v>0</v>
      </c>
      <c r="R568" s="192"/>
      <c r="S568" s="192">
        <f>IF(AND(Daten!$AD568&lt;=Limits!$I$70,Daten!$AE568&gt;=Limits!$I$70)=TRUE,1,0)</f>
        <v>0</v>
      </c>
      <c r="T568" s="193">
        <f ca="1">IF(Daten!$Y568=Sprache!$A$135,1,0)</f>
        <v>0</v>
      </c>
      <c r="U568" s="124" t="str">
        <f ca="1">Sprache!$A$68</f>
        <v>T-65 Поворотный подъемник</v>
      </c>
      <c r="V568" s="194">
        <v>14</v>
      </c>
      <c r="W568" s="193">
        <v>14</v>
      </c>
      <c r="X568" s="187" t="str">
        <f ca="1">Sprache!$A$141</f>
        <v>Alu</v>
      </c>
      <c r="Y568" s="187" t="str">
        <f ca="1">Sprache!$A$136</f>
        <v>nein</v>
      </c>
      <c r="Z568" s="187" t="str">
        <f ca="1">Sprache!$A$79</f>
        <v>Створка</v>
      </c>
      <c r="AA568" s="187">
        <v>450</v>
      </c>
      <c r="AB568" s="124">
        <v>499</v>
      </c>
      <c r="AC568" s="187"/>
      <c r="AD568" s="195">
        <v>0.7</v>
      </c>
      <c r="AE568" s="196">
        <v>2.2000000000000002</v>
      </c>
      <c r="AF568" s="263" t="str">
        <f>MID(Tabelle2[[#This Row],[bnr full]],1,4)</f>
        <v>F151</v>
      </c>
      <c r="AG568" s="264" t="str">
        <f>MID(Tabelle2[[#This Row],[bnr full]],5,3)</f>
        <v>147</v>
      </c>
      <c r="AH568" s="265" t="str">
        <f>MID(Tabelle2[[#This Row],[bnr full]],8,3)</f>
        <v>679</v>
      </c>
      <c r="AI568" s="264" t="str">
        <f>MID(Tabelle2[[#This Row],[bnr full]],11,3)</f>
        <v>201</v>
      </c>
      <c r="AJ568" s="252" t="str">
        <f>MID(Tabelle2[[#This Row],[bnr full]],11,3)</f>
        <v>201</v>
      </c>
      <c r="AK568" s="197" t="s">
        <v>806</v>
      </c>
      <c r="AL568" s="124" t="str">
        <f ca="1">Sprache!$A$111</f>
        <v>Комплект (Л + П)</v>
      </c>
      <c r="AM568" s="187" t="s">
        <v>25</v>
      </c>
      <c r="AN568" s="187" t="str">
        <f ca="1">Sprache!$A$130</f>
        <v>Пружина, желтая, двусторонняя</v>
      </c>
      <c r="AO568" s="187" t="s">
        <v>25</v>
      </c>
      <c r="AP568" s="187" t="s">
        <v>25</v>
      </c>
      <c r="AQ568" s="187">
        <f>Limits!$K$9</f>
        <v>200</v>
      </c>
      <c r="AR568" s="124">
        <v>1200</v>
      </c>
      <c r="AS568" s="187"/>
      <c r="AT568" s="124"/>
      <c r="AV568"/>
      <c r="AX568" s="10"/>
      <c r="AY568" s="11"/>
      <c r="AZ568" s="2"/>
      <c r="BC568"/>
    </row>
    <row r="569" spans="1:55" hidden="1" x14ac:dyDescent="0.25">
      <c r="A569" s="12" t="str">
        <f ca="1">IF(F569+G569+H569+I569+J569+D569+E569=3,IF(Tabelle2[[#This Row],[Kappe Weiß]]=Limits!$R$29,1,""),"")</f>
        <v/>
      </c>
      <c r="B569" s="12" t="str">
        <f ca="1">IF(G569+H569+I569+J569+E569+F569=2,IF(Tabelle2[[#This Row],[Kappe Weiß]]=Limits!$R$29,1,""),"")</f>
        <v/>
      </c>
      <c r="C569" s="291">
        <v>0</v>
      </c>
      <c r="D569" s="171">
        <f>IF(Limits!$P$6=TRUE,1,0)</f>
        <v>0</v>
      </c>
      <c r="E569" s="172">
        <f>IF(Daten!$P569+Daten!$Q569+Daten!$S569=3,1,0)</f>
        <v>0</v>
      </c>
      <c r="F569" s="173">
        <f ca="1">IF(AND(Limits!$Q$21=TRUE,Daten!O569=1)=TRUE,1,0)</f>
        <v>0</v>
      </c>
      <c r="G569" s="174">
        <f>IF(AND(Limits!$Q$25=TRUE,Daten!N569=1)=TRUE,1,0)</f>
        <v>0</v>
      </c>
      <c r="H569" s="174">
        <f>IF(AND(Limits!$Q$24=TRUE,Daten!M569=1)=TRUE,1,0)</f>
        <v>0</v>
      </c>
      <c r="I569" s="174">
        <f>IF(AND(Limits!$Q$23=TRUE,Daten!L569=1)=TRUE,1,0)</f>
        <v>0</v>
      </c>
      <c r="J569" s="174">
        <f>IF(AND(Limits!$Q$22=TRUE,Daten!K569=1)=TRUE,1,0)</f>
        <v>0</v>
      </c>
      <c r="K569" s="188">
        <f>IF(Daten!$V569=13,1,0)</f>
        <v>0</v>
      </c>
      <c r="L569" s="189">
        <f>IF(Daten!$V569&lt;&gt;Daten!$W569,1,IF(Daten!$V569=14,1,0))</f>
        <v>1</v>
      </c>
      <c r="M569" s="189">
        <f>IF(Daten!$V569&lt;&gt;Daten!$W569,1,IF(Daten!$V569=16,1,0))</f>
        <v>0</v>
      </c>
      <c r="N569" s="189">
        <f>IF(Daten!$W569=17,1,0)</f>
        <v>0</v>
      </c>
      <c r="O569" s="190">
        <f ca="1">IF(Daten!$X569=Sprache!$A$70,1,0)</f>
        <v>0</v>
      </c>
      <c r="P569" s="191">
        <f>IF(AND(Daten!$AQ569&lt;=KINVARO!$AW$3,Daten!$AR569&gt;=KINVARO!$AW$3)=TRUE,1,0)</f>
        <v>1</v>
      </c>
      <c r="Q569" s="192">
        <f>IF(AND(Daten!$AA569&lt;=KINVARO!$AW$4,Daten!$AB569&gt;=KINVARO!$AW$4)=TRUE,1,0)</f>
        <v>0</v>
      </c>
      <c r="R569" s="192"/>
      <c r="S569" s="192">
        <f>IF(AND(Daten!$AD569&lt;=Limits!$I$70,Daten!$AE569&gt;=Limits!$I$70)=TRUE,1,0)</f>
        <v>0</v>
      </c>
      <c r="T569" s="193">
        <f ca="1">IF(Daten!$Y569=Sprache!$A$135,1,0)</f>
        <v>0</v>
      </c>
      <c r="U569" s="124" t="str">
        <f ca="1">Sprache!$A$68</f>
        <v>T-65 Поворотный подъемник</v>
      </c>
      <c r="V569" s="194">
        <v>14</v>
      </c>
      <c r="W569" s="193">
        <v>14</v>
      </c>
      <c r="X569" s="187" t="str">
        <f ca="1">Sprache!$A$141</f>
        <v>Alu</v>
      </c>
      <c r="Y569" s="187" t="str">
        <f ca="1">Sprache!$A$136</f>
        <v>nein</v>
      </c>
      <c r="Z569" s="187" t="str">
        <f ca="1">Sprache!$A$79</f>
        <v>Створка</v>
      </c>
      <c r="AA569" s="187">
        <v>450</v>
      </c>
      <c r="AB569" s="124">
        <v>499</v>
      </c>
      <c r="AC569" s="187"/>
      <c r="AD569" s="195">
        <v>1.3</v>
      </c>
      <c r="AE569" s="196">
        <v>4.2</v>
      </c>
      <c r="AF569" s="263" t="str">
        <f>MID(Tabelle2[[#This Row],[bnr full]],1,4)</f>
        <v>F151</v>
      </c>
      <c r="AG569" s="264" t="str">
        <f>MID(Tabelle2[[#This Row],[bnr full]],5,3)</f>
        <v>147</v>
      </c>
      <c r="AH569" s="265" t="str">
        <f>MID(Tabelle2[[#This Row],[bnr full]],8,3)</f>
        <v>679</v>
      </c>
      <c r="AI569" s="264" t="str">
        <f>MID(Tabelle2[[#This Row],[bnr full]],11,3)</f>
        <v>201</v>
      </c>
      <c r="AJ569" s="252" t="str">
        <f>MID(Tabelle2[[#This Row],[bnr full]],11,3)</f>
        <v>201</v>
      </c>
      <c r="AK569" s="197" t="s">
        <v>806</v>
      </c>
      <c r="AL569" s="124" t="str">
        <f ca="1">Sprache!$A$111</f>
        <v>Комплект (Л + П)</v>
      </c>
      <c r="AM569" s="187" t="s">
        <v>25</v>
      </c>
      <c r="AN569" s="187" t="str">
        <f ca="1">Sprache!$A$131</f>
        <v>Пружина, черная, двусторонняя</v>
      </c>
      <c r="AO569" s="187" t="s">
        <v>25</v>
      </c>
      <c r="AP569" s="187" t="s">
        <v>25</v>
      </c>
      <c r="AQ569" s="187">
        <f>Limits!$K$9</f>
        <v>200</v>
      </c>
      <c r="AR569" s="124">
        <v>1200</v>
      </c>
      <c r="AS569" s="187"/>
      <c r="AT569" s="124"/>
      <c r="AV569"/>
      <c r="AX569" s="10"/>
      <c r="AY569" s="11"/>
      <c r="AZ569" s="2"/>
      <c r="BC569"/>
    </row>
    <row r="570" spans="1:55" hidden="1" x14ac:dyDescent="0.25">
      <c r="A570" s="12" t="str">
        <f ca="1">IF(F570+G570+H570+I570+J570+D570+E570=3,IF(Tabelle2[[#This Row],[Kappe Weiß]]=Limits!$R$29,1,""),"")</f>
        <v/>
      </c>
      <c r="B570" s="12" t="str">
        <f ca="1">IF(G570+H570+I570+J570+E570+F570=2,IF(Tabelle2[[#This Row],[Kappe Weiß]]=Limits!$R$29,1,""),"")</f>
        <v/>
      </c>
      <c r="C570" s="291">
        <v>0</v>
      </c>
      <c r="D570" s="171">
        <f>IF(Limits!$P$6=TRUE,1,0)</f>
        <v>0</v>
      </c>
      <c r="E570" s="172">
        <f>IF(Daten!$P570+Daten!$Q570+Daten!$S570=3,1,0)</f>
        <v>0</v>
      </c>
      <c r="F570" s="173">
        <f ca="1">IF(AND(Limits!$Q$21=TRUE,Daten!O570=1)=TRUE,1,0)</f>
        <v>0</v>
      </c>
      <c r="G570" s="174">
        <f>IF(AND(Limits!$Q$25=TRUE,Daten!N570=1)=TRUE,1,0)</f>
        <v>0</v>
      </c>
      <c r="H570" s="174">
        <f>IF(AND(Limits!$Q$24=TRUE,Daten!M570=1)=TRUE,1,0)</f>
        <v>0</v>
      </c>
      <c r="I570" s="174">
        <f>IF(AND(Limits!$Q$23=TRUE,Daten!L570=1)=TRUE,1,0)</f>
        <v>0</v>
      </c>
      <c r="J570" s="174">
        <f>IF(AND(Limits!$Q$22=TRUE,Daten!K570=1)=TRUE,1,0)</f>
        <v>0</v>
      </c>
      <c r="K570" s="188">
        <f>IF(Daten!$V570=13,1,0)</f>
        <v>0</v>
      </c>
      <c r="L570" s="189">
        <f>IF(Daten!$V570&lt;&gt;Daten!$W570,1,IF(Daten!$V570=14,1,0))</f>
        <v>0</v>
      </c>
      <c r="M570" s="189">
        <f>IF(Daten!$V570&lt;&gt;Daten!$W570,1,IF(Daten!$V570=16,1,0))</f>
        <v>1</v>
      </c>
      <c r="N570" s="189">
        <f>IF(Daten!$W570=17,1,0)</f>
        <v>0</v>
      </c>
      <c r="O570" s="190">
        <f ca="1">IF(Daten!$X570=Sprache!$A$70,1,0)</f>
        <v>0</v>
      </c>
      <c r="P570" s="191">
        <f>IF(AND(Daten!$AQ570&lt;=KINVARO!$AW$3,Daten!$AR570&gt;=KINVARO!$AW$3)=TRUE,1,0)</f>
        <v>1</v>
      </c>
      <c r="Q570" s="192">
        <f>IF(AND(Daten!$AA570&lt;=KINVARO!$AW$4,Daten!$AB570&gt;=KINVARO!$AW$4)=TRUE,1,0)</f>
        <v>0</v>
      </c>
      <c r="R570" s="192"/>
      <c r="S570" s="192">
        <f>IF(AND(Daten!$AD570&lt;=Limits!$I$70,Daten!$AE570&gt;=Limits!$I$70)=TRUE,1,0)</f>
        <v>0</v>
      </c>
      <c r="T570" s="193">
        <f ca="1">IF(Daten!$Y570=Sprache!$A$135,1,0)</f>
        <v>0</v>
      </c>
      <c r="U570" s="124" t="str">
        <f ca="1">Sprache!$A$68</f>
        <v>T-65 Поворотный подъемник</v>
      </c>
      <c r="V570" s="194">
        <v>16</v>
      </c>
      <c r="W570" s="193">
        <v>16</v>
      </c>
      <c r="X570" s="187" t="str">
        <f ca="1">Sprache!$A$141</f>
        <v>Alu</v>
      </c>
      <c r="Y570" s="187" t="str">
        <f ca="1">Sprache!$A$136</f>
        <v>nein</v>
      </c>
      <c r="Z570" s="187" t="str">
        <f ca="1">Sprache!$A$79</f>
        <v>Створка</v>
      </c>
      <c r="AA570" s="187">
        <v>450</v>
      </c>
      <c r="AB570" s="124">
        <v>499</v>
      </c>
      <c r="AC570" s="187"/>
      <c r="AD570" s="195">
        <v>0.7</v>
      </c>
      <c r="AE570" s="196">
        <v>2.2000000000000002</v>
      </c>
      <c r="AF570" s="263" t="str">
        <f>MID(Tabelle2[[#This Row],[bnr full]],1,4)</f>
        <v>F151</v>
      </c>
      <c r="AG570" s="264" t="str">
        <f>MID(Tabelle2[[#This Row],[bnr full]],5,3)</f>
        <v>147</v>
      </c>
      <c r="AH570" s="265" t="str">
        <f>MID(Tabelle2[[#This Row],[bnr full]],8,3)</f>
        <v>680</v>
      </c>
      <c r="AI570" s="264" t="str">
        <f>MID(Tabelle2[[#This Row],[bnr full]],11,3)</f>
        <v>201</v>
      </c>
      <c r="AJ570" s="252" t="str">
        <f>MID(Tabelle2[[#This Row],[bnr full]],11,3)</f>
        <v>201</v>
      </c>
      <c r="AK570" s="197" t="s">
        <v>807</v>
      </c>
      <c r="AL570" s="124" t="str">
        <f ca="1">Sprache!$A$111</f>
        <v>Комплект (Л + П)</v>
      </c>
      <c r="AM570" s="187" t="s">
        <v>25</v>
      </c>
      <c r="AN570" s="187" t="str">
        <f ca="1">Sprache!$A$130</f>
        <v>Пружина, желтая, двусторонняя</v>
      </c>
      <c r="AO570" s="187" t="s">
        <v>25</v>
      </c>
      <c r="AP570" s="187" t="s">
        <v>25</v>
      </c>
      <c r="AQ570" s="187">
        <f>Limits!$K$9</f>
        <v>200</v>
      </c>
      <c r="AR570" s="124">
        <v>1200</v>
      </c>
      <c r="AS570" s="187"/>
      <c r="AT570" s="124"/>
      <c r="AV570"/>
      <c r="AX570" s="10"/>
      <c r="AY570" s="11"/>
      <c r="AZ570" s="2"/>
      <c r="BC570"/>
    </row>
    <row r="571" spans="1:55" hidden="1" x14ac:dyDescent="0.25">
      <c r="A571" s="12" t="str">
        <f ca="1">IF(F571+G571+H571+I571+J571+D571+E571=3,IF(Tabelle2[[#This Row],[Kappe Weiß]]=Limits!$R$29,1,""),"")</f>
        <v/>
      </c>
      <c r="B571" s="12" t="str">
        <f ca="1">IF(G571+H571+I571+J571+E571+F571=2,IF(Tabelle2[[#This Row],[Kappe Weiß]]=Limits!$R$29,1,""),"")</f>
        <v/>
      </c>
      <c r="C571" s="291">
        <v>0</v>
      </c>
      <c r="D571" s="171">
        <f>IF(Limits!$P$6=TRUE,1,0)</f>
        <v>0</v>
      </c>
      <c r="E571" s="172">
        <f>IF(Daten!$P571+Daten!$Q571+Daten!$S571=3,1,0)</f>
        <v>0</v>
      </c>
      <c r="F571" s="173">
        <f ca="1">IF(AND(Limits!$Q$21=TRUE,Daten!O571=1)=TRUE,1,0)</f>
        <v>0</v>
      </c>
      <c r="G571" s="174">
        <f>IF(AND(Limits!$Q$25=TRUE,Daten!N571=1)=TRUE,1,0)</f>
        <v>0</v>
      </c>
      <c r="H571" s="174">
        <f>IF(AND(Limits!$Q$24=TRUE,Daten!M571=1)=TRUE,1,0)</f>
        <v>0</v>
      </c>
      <c r="I571" s="174">
        <f>IF(AND(Limits!$Q$23=TRUE,Daten!L571=1)=TRUE,1,0)</f>
        <v>0</v>
      </c>
      <c r="J571" s="174">
        <f>IF(AND(Limits!$Q$22=TRUE,Daten!K571=1)=TRUE,1,0)</f>
        <v>0</v>
      </c>
      <c r="K571" s="188">
        <f>IF(Daten!$V571=13,1,0)</f>
        <v>0</v>
      </c>
      <c r="L571" s="189">
        <f>IF(Daten!$V571&lt;&gt;Daten!$W571,1,IF(Daten!$V571=14,1,0))</f>
        <v>0</v>
      </c>
      <c r="M571" s="189">
        <f>IF(Daten!$V571&lt;&gt;Daten!$W571,1,IF(Daten!$V571=16,1,0))</f>
        <v>1</v>
      </c>
      <c r="N571" s="189">
        <f>IF(Daten!$W571=17,1,0)</f>
        <v>0</v>
      </c>
      <c r="O571" s="190">
        <f ca="1">IF(Daten!$X571=Sprache!$A$70,1,0)</f>
        <v>0</v>
      </c>
      <c r="P571" s="191">
        <f>IF(AND(Daten!$AQ571&lt;=KINVARO!$AW$3,Daten!$AR571&gt;=KINVARO!$AW$3)=TRUE,1,0)</f>
        <v>1</v>
      </c>
      <c r="Q571" s="192">
        <f>IF(AND(Daten!$AA571&lt;=KINVARO!$AW$4,Daten!$AB571&gt;=KINVARO!$AW$4)=TRUE,1,0)</f>
        <v>0</v>
      </c>
      <c r="R571" s="192"/>
      <c r="S571" s="192">
        <f>IF(AND(Daten!$AD571&lt;=Limits!$I$70,Daten!$AE571&gt;=Limits!$I$70)=TRUE,1,0)</f>
        <v>0</v>
      </c>
      <c r="T571" s="193">
        <f ca="1">IF(Daten!$Y571=Sprache!$A$135,1,0)</f>
        <v>0</v>
      </c>
      <c r="U571" s="124" t="str">
        <f ca="1">Sprache!$A$68</f>
        <v>T-65 Поворотный подъемник</v>
      </c>
      <c r="V571" s="194">
        <v>16</v>
      </c>
      <c r="W571" s="193">
        <v>16</v>
      </c>
      <c r="X571" s="187" t="str">
        <f ca="1">Sprache!$A$141</f>
        <v>Alu</v>
      </c>
      <c r="Y571" s="187" t="str">
        <f ca="1">Sprache!$A$136</f>
        <v>nein</v>
      </c>
      <c r="Z571" s="187" t="str">
        <f ca="1">Sprache!$A$79</f>
        <v>Створка</v>
      </c>
      <c r="AA571" s="187">
        <v>450</v>
      </c>
      <c r="AB571" s="124">
        <v>499</v>
      </c>
      <c r="AC571" s="187"/>
      <c r="AD571" s="195">
        <v>1.3</v>
      </c>
      <c r="AE571" s="196">
        <v>4.2</v>
      </c>
      <c r="AF571" s="263" t="str">
        <f>MID(Tabelle2[[#This Row],[bnr full]],1,4)</f>
        <v>F151</v>
      </c>
      <c r="AG571" s="264" t="str">
        <f>MID(Tabelle2[[#This Row],[bnr full]],5,3)</f>
        <v>147</v>
      </c>
      <c r="AH571" s="265" t="str">
        <f>MID(Tabelle2[[#This Row],[bnr full]],8,3)</f>
        <v>680</v>
      </c>
      <c r="AI571" s="264" t="str">
        <f>MID(Tabelle2[[#This Row],[bnr full]],11,3)</f>
        <v>201</v>
      </c>
      <c r="AJ571" s="252" t="str">
        <f>MID(Tabelle2[[#This Row],[bnr full]],11,3)</f>
        <v>201</v>
      </c>
      <c r="AK571" s="197" t="s">
        <v>807</v>
      </c>
      <c r="AL571" s="124" t="str">
        <f ca="1">Sprache!$A$111</f>
        <v>Комплект (Л + П)</v>
      </c>
      <c r="AM571" s="187" t="s">
        <v>25</v>
      </c>
      <c r="AN571" s="187" t="str">
        <f ca="1">Sprache!$A$131</f>
        <v>Пружина, черная, двусторонняя</v>
      </c>
      <c r="AO571" s="187" t="s">
        <v>25</v>
      </c>
      <c r="AP571" s="187" t="s">
        <v>25</v>
      </c>
      <c r="AQ571" s="187">
        <f>Limits!$K$9</f>
        <v>200</v>
      </c>
      <c r="AR571" s="124">
        <v>1200</v>
      </c>
      <c r="AS571" s="187"/>
      <c r="AT571" s="124"/>
      <c r="AV571"/>
      <c r="AX571" s="10"/>
      <c r="AY571" s="11"/>
      <c r="AZ571" s="2"/>
      <c r="BC571"/>
    </row>
    <row r="572" spans="1:55" hidden="1" x14ac:dyDescent="0.25">
      <c r="A572" s="12" t="str">
        <f ca="1">IF(F572+G572+H572+I572+J572+D572+E572=3,IF(Tabelle2[[#This Row],[Kappe Weiß]]=Limits!$R$29,1,""),"")</f>
        <v/>
      </c>
      <c r="B572" s="12" t="str">
        <f ca="1">IF(G572+H572+I572+J572+E572+F572=2,IF(Tabelle2[[#This Row],[Kappe Weiß]]=Limits!$R$29,1,""),"")</f>
        <v/>
      </c>
      <c r="C572" s="291">
        <v>0</v>
      </c>
      <c r="D572" s="171">
        <f>IF(Limits!$P$6=TRUE,1,0)</f>
        <v>0</v>
      </c>
      <c r="E572" s="172">
        <f>IF(Daten!$P572+Daten!$Q572+Daten!$S572=3,1,0)</f>
        <v>0</v>
      </c>
      <c r="F572" s="173">
        <f ca="1">IF(AND(Limits!$Q$21=TRUE,Daten!O572=1)=TRUE,1,0)</f>
        <v>0</v>
      </c>
      <c r="G572" s="174">
        <f>IF(AND(Limits!$Q$25=TRUE,Daten!N572=1)=TRUE,1,0)</f>
        <v>0</v>
      </c>
      <c r="H572" s="174">
        <f>IF(AND(Limits!$Q$24=TRUE,Daten!M572=1)=TRUE,1,0)</f>
        <v>0</v>
      </c>
      <c r="I572" s="174">
        <f>IF(AND(Limits!$Q$23=TRUE,Daten!L572=1)=TRUE,1,0)</f>
        <v>0</v>
      </c>
      <c r="J572" s="174">
        <f>IF(AND(Limits!$Q$22=TRUE,Daten!K572=1)=TRUE,1,0)</f>
        <v>0</v>
      </c>
      <c r="K572" s="188">
        <f>IF(Daten!$V572=13,1,0)</f>
        <v>0</v>
      </c>
      <c r="L572" s="189">
        <f>IF(Daten!$V572&lt;&gt;Daten!$W572,1,IF(Daten!$V572=14,1,0))</f>
        <v>0</v>
      </c>
      <c r="M572" s="189">
        <f>IF(Daten!$V572&lt;&gt;Daten!$W572,1,IF(Daten!$V572=16,1,0))</f>
        <v>0</v>
      </c>
      <c r="N572" s="189">
        <f>IF(Daten!$W572=17,1,0)</f>
        <v>1</v>
      </c>
      <c r="O572" s="190">
        <f ca="1">IF(Daten!$X572=Sprache!$A$70,1,0)</f>
        <v>0</v>
      </c>
      <c r="P572" s="191">
        <f>IF(AND(Daten!$AQ572&lt;=KINVARO!$AW$3,Daten!$AR572&gt;=KINVARO!$AW$3)=TRUE,1,0)</f>
        <v>1</v>
      </c>
      <c r="Q572" s="192">
        <f>IF(AND(Daten!$AA572&lt;=KINVARO!$AW$4,Daten!$AB572&gt;=KINVARO!$AW$4)=TRUE,1,0)</f>
        <v>0</v>
      </c>
      <c r="R572" s="192"/>
      <c r="S572" s="192">
        <f>IF(AND(Daten!$AD572&lt;=Limits!$I$70,Daten!$AE572&gt;=Limits!$I$70)=TRUE,1,0)</f>
        <v>0</v>
      </c>
      <c r="T572" s="193">
        <f ca="1">IF(Daten!$Y572=Sprache!$A$135,1,0)</f>
        <v>0</v>
      </c>
      <c r="U572" s="124" t="str">
        <f ca="1">Sprache!$A$68</f>
        <v>T-65 Поворотный подъемник</v>
      </c>
      <c r="V572" s="194">
        <v>17</v>
      </c>
      <c r="W572" s="193">
        <v>17</v>
      </c>
      <c r="X572" s="187" t="str">
        <f ca="1">Sprache!$A$141</f>
        <v>Alu</v>
      </c>
      <c r="Y572" s="187" t="str">
        <f ca="1">Sprache!$A$136</f>
        <v>nein</v>
      </c>
      <c r="Z572" s="187" t="str">
        <f ca="1">Sprache!$A$79</f>
        <v>Створка</v>
      </c>
      <c r="AA572" s="187">
        <v>450</v>
      </c>
      <c r="AB572" s="124">
        <v>499</v>
      </c>
      <c r="AC572" s="187"/>
      <c r="AD572" s="195">
        <v>0.7</v>
      </c>
      <c r="AE572" s="196">
        <v>2.2000000000000002</v>
      </c>
      <c r="AF572" s="263" t="str">
        <f>MID(Tabelle2[[#This Row],[bnr full]],1,4)</f>
        <v>F151</v>
      </c>
      <c r="AG572" s="264" t="str">
        <f>MID(Tabelle2[[#This Row],[bnr full]],5,3)</f>
        <v>147</v>
      </c>
      <c r="AH572" s="265" t="str">
        <f>MID(Tabelle2[[#This Row],[bnr full]],8,3)</f>
        <v>681</v>
      </c>
      <c r="AI572" s="264" t="str">
        <f>MID(Tabelle2[[#This Row],[bnr full]],11,3)</f>
        <v>201</v>
      </c>
      <c r="AJ572" s="252" t="str">
        <f>MID(Tabelle2[[#This Row],[bnr full]],11,3)</f>
        <v>201</v>
      </c>
      <c r="AK572" s="197" t="s">
        <v>808</v>
      </c>
      <c r="AL572" s="124" t="str">
        <f ca="1">Sprache!$A$111</f>
        <v>Комплект (Л + П)</v>
      </c>
      <c r="AM572" s="187" t="s">
        <v>25</v>
      </c>
      <c r="AN572" s="187" t="str">
        <f ca="1">Sprache!$A$130</f>
        <v>Пружина, желтая, двусторонняя</v>
      </c>
      <c r="AO572" s="187" t="s">
        <v>25</v>
      </c>
      <c r="AP572" s="187" t="s">
        <v>25</v>
      </c>
      <c r="AQ572" s="187">
        <f>Limits!$K$9</f>
        <v>200</v>
      </c>
      <c r="AR572" s="124">
        <v>1200</v>
      </c>
      <c r="AS572" s="187"/>
      <c r="AT572" s="124"/>
      <c r="AV572"/>
      <c r="AX572" s="10"/>
      <c r="AY572" s="11"/>
      <c r="AZ572" s="2"/>
      <c r="BC572"/>
    </row>
    <row r="573" spans="1:55" hidden="1" x14ac:dyDescent="0.25">
      <c r="A573" s="12" t="str">
        <f ca="1">IF(F573+G573+H573+I573+J573+D573+E573=3,IF(Tabelle2[[#This Row],[Kappe Weiß]]=Limits!$R$29,1,""),"")</f>
        <v/>
      </c>
      <c r="B573" s="12" t="str">
        <f ca="1">IF(G573+H573+I573+J573+E573+F573=2,IF(Tabelle2[[#This Row],[Kappe Weiß]]=Limits!$R$29,1,""),"")</f>
        <v/>
      </c>
      <c r="C573" s="291">
        <v>0</v>
      </c>
      <c r="D573" s="171">
        <f>IF(Limits!$P$6=TRUE,1,0)</f>
        <v>0</v>
      </c>
      <c r="E573" s="172">
        <f>IF(Daten!$P573+Daten!$Q573+Daten!$S573=3,1,0)</f>
        <v>0</v>
      </c>
      <c r="F573" s="173">
        <f ca="1">IF(AND(Limits!$Q$21=TRUE,Daten!O573=1)=TRUE,1,0)</f>
        <v>0</v>
      </c>
      <c r="G573" s="174">
        <f>IF(AND(Limits!$Q$25=TRUE,Daten!N573=1)=TRUE,1,0)</f>
        <v>0</v>
      </c>
      <c r="H573" s="174">
        <f>IF(AND(Limits!$Q$24=TRUE,Daten!M573=1)=TRUE,1,0)</f>
        <v>0</v>
      </c>
      <c r="I573" s="174">
        <f>IF(AND(Limits!$Q$23=TRUE,Daten!L573=1)=TRUE,1,0)</f>
        <v>0</v>
      </c>
      <c r="J573" s="174">
        <f>IF(AND(Limits!$Q$22=TRUE,Daten!K573=1)=TRUE,1,0)</f>
        <v>0</v>
      </c>
      <c r="K573" s="188">
        <f>IF(Daten!$V573=13,1,0)</f>
        <v>0</v>
      </c>
      <c r="L573" s="189">
        <f>IF(Daten!$V573&lt;&gt;Daten!$W573,1,IF(Daten!$V573=14,1,0))</f>
        <v>0</v>
      </c>
      <c r="M573" s="189">
        <f>IF(Daten!$V573&lt;&gt;Daten!$W573,1,IF(Daten!$V573=16,1,0))</f>
        <v>0</v>
      </c>
      <c r="N573" s="189">
        <f>IF(Daten!$W573=17,1,0)</f>
        <v>1</v>
      </c>
      <c r="O573" s="190">
        <f ca="1">IF(Daten!$X573=Sprache!$A$70,1,0)</f>
        <v>0</v>
      </c>
      <c r="P573" s="191">
        <f>IF(AND(Daten!$AQ573&lt;=KINVARO!$AW$3,Daten!$AR573&gt;=KINVARO!$AW$3)=TRUE,1,0)</f>
        <v>1</v>
      </c>
      <c r="Q573" s="192">
        <f>IF(AND(Daten!$AA573&lt;=KINVARO!$AW$4,Daten!$AB573&gt;=KINVARO!$AW$4)=TRUE,1,0)</f>
        <v>0</v>
      </c>
      <c r="R573" s="192"/>
      <c r="S573" s="192">
        <f>IF(AND(Daten!$AD573&lt;=Limits!$I$70,Daten!$AE573&gt;=Limits!$I$70)=TRUE,1,0)</f>
        <v>0</v>
      </c>
      <c r="T573" s="193">
        <f ca="1">IF(Daten!$Y573=Sprache!$A$135,1,0)</f>
        <v>0</v>
      </c>
      <c r="U573" s="124" t="str">
        <f ca="1">Sprache!$A$68</f>
        <v>T-65 Поворотный подъемник</v>
      </c>
      <c r="V573" s="194">
        <v>17</v>
      </c>
      <c r="W573" s="193">
        <v>17</v>
      </c>
      <c r="X573" s="187" t="str">
        <f ca="1">Sprache!$A$141</f>
        <v>Alu</v>
      </c>
      <c r="Y573" s="187" t="str">
        <f ca="1">Sprache!$A$136</f>
        <v>nein</v>
      </c>
      <c r="Z573" s="187" t="str">
        <f ca="1">Sprache!$A$79</f>
        <v>Створка</v>
      </c>
      <c r="AA573" s="187">
        <v>450</v>
      </c>
      <c r="AB573" s="124">
        <v>499</v>
      </c>
      <c r="AC573" s="187"/>
      <c r="AD573" s="195">
        <v>1.3</v>
      </c>
      <c r="AE573" s="196">
        <v>4.2</v>
      </c>
      <c r="AF573" s="263" t="str">
        <f>MID(Tabelle2[[#This Row],[bnr full]],1,4)</f>
        <v>F151</v>
      </c>
      <c r="AG573" s="264" t="str">
        <f>MID(Tabelle2[[#This Row],[bnr full]],5,3)</f>
        <v>147</v>
      </c>
      <c r="AH573" s="265" t="str">
        <f>MID(Tabelle2[[#This Row],[bnr full]],8,3)</f>
        <v>681</v>
      </c>
      <c r="AI573" s="264" t="str">
        <f>MID(Tabelle2[[#This Row],[bnr full]],11,3)</f>
        <v>201</v>
      </c>
      <c r="AJ573" s="252" t="str">
        <f>MID(Tabelle2[[#This Row],[bnr full]],11,3)</f>
        <v>201</v>
      </c>
      <c r="AK573" s="197" t="s">
        <v>808</v>
      </c>
      <c r="AL573" s="124" t="str">
        <f ca="1">Sprache!$A$111</f>
        <v>Комплект (Л + П)</v>
      </c>
      <c r="AM573" s="187" t="s">
        <v>25</v>
      </c>
      <c r="AN573" s="187" t="str">
        <f ca="1">Sprache!$A$131</f>
        <v>Пружина, черная, двусторонняя</v>
      </c>
      <c r="AO573" s="187" t="s">
        <v>25</v>
      </c>
      <c r="AP573" s="187" t="s">
        <v>25</v>
      </c>
      <c r="AQ573" s="187">
        <f>Limits!$K$9</f>
        <v>200</v>
      </c>
      <c r="AR573" s="124">
        <v>1200</v>
      </c>
      <c r="AS573" s="187"/>
      <c r="AT573" s="124"/>
      <c r="AV573"/>
      <c r="AX573" s="10"/>
      <c r="AY573" s="11"/>
      <c r="AZ573" s="2"/>
      <c r="BC573"/>
    </row>
    <row r="574" spans="1:55" hidden="1" x14ac:dyDescent="0.25">
      <c r="A574" s="12" t="str">
        <f ca="1">IF(F574+G574+H574+I574+J574+D574+E574=3,IF(Tabelle2[[#This Row],[Kappe Weiß]]=Limits!$R$29,1,""),"")</f>
        <v/>
      </c>
      <c r="B574" s="12" t="str">
        <f ca="1">IF(G574+H574+I574+J574+E574+F574=2,IF(Tabelle2[[#This Row],[Kappe Weiß]]=Limits!$R$29,1,""),"")</f>
        <v/>
      </c>
      <c r="C574" s="292">
        <v>0</v>
      </c>
      <c r="D574" s="171">
        <f>IF(Limits!$P$6=TRUE,1,0)</f>
        <v>0</v>
      </c>
      <c r="E574" s="172">
        <f>IF(Daten!$P574+Daten!$Q574+Daten!$S574=3,1,0)</f>
        <v>0</v>
      </c>
      <c r="F574" s="173">
        <f ca="1">IF(AND(Limits!$Q$21=TRUE,Daten!O574=1)=TRUE,1,0)</f>
        <v>1</v>
      </c>
      <c r="G574" s="174">
        <f ca="1">IF(AND(Limits!$Q$25=TRUE,Daten!N574=1)=TRUE,1,0)</f>
        <v>0</v>
      </c>
      <c r="H574" s="174">
        <f ca="1">IF(AND(Limits!$Q$24=TRUE,Daten!M574=1)=TRUE,1,0)</f>
        <v>0</v>
      </c>
      <c r="I574" s="174">
        <f ca="1">IF(AND(Limits!$Q$23=TRUE,Daten!L574=1)=TRUE,1,0)</f>
        <v>0</v>
      </c>
      <c r="J574" s="174">
        <f ca="1">IF(AND(Limits!$Q$22=TRUE,Daten!K574=1)=TRUE,1,0)</f>
        <v>0</v>
      </c>
      <c r="K574" s="188">
        <f ca="1">IF(Daten!$V574=13,1,0)</f>
        <v>0</v>
      </c>
      <c r="L574" s="189">
        <f ca="1">IF(Daten!$V574&lt;&gt;Daten!$W574,1,IF(Daten!$V574=14,1,0))</f>
        <v>0</v>
      </c>
      <c r="M574" s="189">
        <f ca="1">IF(Daten!$V574&lt;&gt;Daten!$W574,1,IF(Daten!$V574=16,1,0))</f>
        <v>0</v>
      </c>
      <c r="N574" s="189">
        <f ca="1">IF(Daten!$W574=17,1,0)</f>
        <v>0</v>
      </c>
      <c r="O574" s="190">
        <f ca="1">IF(Daten!$X574=Sprache!$A$70,1,0)</f>
        <v>1</v>
      </c>
      <c r="P574" s="198">
        <f>IF(AND(Daten!$AQ574&lt;=KINVARO!$AW$3,Daten!$AR574&gt;=KINVARO!$AW$3)=TRUE,1,0)</f>
        <v>1</v>
      </c>
      <c r="Q574" s="199">
        <f>IF(AND(Daten!$AA574&lt;=KINVARO!$AW$4,Daten!$AB574&gt;=KINVARO!$AW$4)=TRUE,1,0)</f>
        <v>0</v>
      </c>
      <c r="R574" s="199"/>
      <c r="S574" s="199">
        <f>IF(AND(Daten!$AD574&lt;=Limits!$I$70,Daten!$AE574&gt;=Limits!$I$70)=TRUE,1,0)</f>
        <v>0</v>
      </c>
      <c r="T574" s="200">
        <f ca="1">IF(Daten!$Y574=Sprache!$A$135,1,0)</f>
        <v>0</v>
      </c>
      <c r="U574" s="201" t="str">
        <f ca="1">Sprache!$A$68</f>
        <v>T-65 Поворотный подъемник</v>
      </c>
      <c r="V574" s="202" t="str">
        <f ca="1">Sprache!$A$74</f>
        <v>var</v>
      </c>
      <c r="W574" s="200" t="str">
        <f ca="1">Sprache!$A$74</f>
        <v>var</v>
      </c>
      <c r="X574" s="203" t="str">
        <f ca="1">Sprache!$A$70</f>
        <v>соединение с древесиной</v>
      </c>
      <c r="Y574" s="187" t="str">
        <f ca="1">Sprache!$A$136</f>
        <v>nein</v>
      </c>
      <c r="Z574" s="203" t="str">
        <f ca="1">Sprache!$A$79</f>
        <v>Створка</v>
      </c>
      <c r="AA574" s="203">
        <v>500</v>
      </c>
      <c r="AB574" s="201">
        <v>549</v>
      </c>
      <c r="AC574" s="203"/>
      <c r="AD574" s="204">
        <v>0.6</v>
      </c>
      <c r="AE574" s="205">
        <v>2</v>
      </c>
      <c r="AF574" s="266" t="str">
        <f>MID(Tabelle2[[#This Row],[bnr full]],1,4)</f>
        <v>F151</v>
      </c>
      <c r="AG574" s="267" t="str">
        <f>MID(Tabelle2[[#This Row],[bnr full]],5,3)</f>
        <v>147</v>
      </c>
      <c r="AH574" s="268" t="str">
        <f>MID(Tabelle2[[#This Row],[bnr full]],8,3)</f>
        <v>682</v>
      </c>
      <c r="AI574" s="267" t="str">
        <f>MID(Tabelle2[[#This Row],[bnr full]],11,3)</f>
        <v>201</v>
      </c>
      <c r="AJ574" s="253" t="str">
        <f>MID(Tabelle2[[#This Row],[bnr full]],11,3)</f>
        <v>201</v>
      </c>
      <c r="AK574" s="206" t="s">
        <v>804</v>
      </c>
      <c r="AL574" s="201" t="str">
        <f ca="1">Sprache!$A$111</f>
        <v>Комплект (Л + П)</v>
      </c>
      <c r="AM574" s="203" t="s">
        <v>25</v>
      </c>
      <c r="AN574" s="203" t="str">
        <f ca="1">Sprache!$A$130</f>
        <v>Пружина, желтая, двусторонняя</v>
      </c>
      <c r="AO574" s="187" t="s">
        <v>25</v>
      </c>
      <c r="AP574" s="187" t="s">
        <v>25</v>
      </c>
      <c r="AQ574" s="203">
        <f>Limits!$K$9</f>
        <v>200</v>
      </c>
      <c r="AR574" s="201">
        <v>1200</v>
      </c>
      <c r="AS574" s="187"/>
      <c r="AT574" s="124"/>
      <c r="AV574"/>
      <c r="AX574" s="10"/>
      <c r="AY574" s="11"/>
      <c r="AZ574" s="2"/>
      <c r="BC574"/>
    </row>
    <row r="575" spans="1:55" hidden="1" x14ac:dyDescent="0.25">
      <c r="A575" s="12" t="str">
        <f ca="1">IF(F575+G575+H575+I575+J575+D575+E575=3,IF(Tabelle2[[#This Row],[Kappe Weiß]]=Limits!$R$29,1,""),"")</f>
        <v/>
      </c>
      <c r="B575" s="12" t="str">
        <f ca="1">IF(G575+H575+I575+J575+E575+F575=2,IF(Tabelle2[[#This Row],[Kappe Weiß]]=Limits!$R$29,1,""),"")</f>
        <v/>
      </c>
      <c r="C575" s="291">
        <v>0</v>
      </c>
      <c r="D575" s="171">
        <f>IF(Limits!$P$6=TRUE,1,0)</f>
        <v>0</v>
      </c>
      <c r="E575" s="172">
        <f>IF(Daten!$P575+Daten!$Q575+Daten!$S575=3,1,0)</f>
        <v>0</v>
      </c>
      <c r="F575" s="173">
        <f ca="1">IF(AND(Limits!$Q$21=TRUE,Daten!O575=1)=TRUE,1,0)</f>
        <v>1</v>
      </c>
      <c r="G575" s="174">
        <f ca="1">IF(AND(Limits!$Q$25=TRUE,Daten!N575=1)=TRUE,1,0)</f>
        <v>0</v>
      </c>
      <c r="H575" s="174">
        <f ca="1">IF(AND(Limits!$Q$24=TRUE,Daten!M575=1)=TRUE,1,0)</f>
        <v>0</v>
      </c>
      <c r="I575" s="174">
        <f ca="1">IF(AND(Limits!$Q$23=TRUE,Daten!L575=1)=TRUE,1,0)</f>
        <v>0</v>
      </c>
      <c r="J575" s="174">
        <f ca="1">IF(AND(Limits!$Q$22=TRUE,Daten!K575=1)=TRUE,1,0)</f>
        <v>0</v>
      </c>
      <c r="K575" s="188">
        <f ca="1">IF(Daten!$V575=13,1,0)</f>
        <v>0</v>
      </c>
      <c r="L575" s="189">
        <f ca="1">IF(Daten!$V575&lt;&gt;Daten!$W575,1,IF(Daten!$V575=14,1,0))</f>
        <v>0</v>
      </c>
      <c r="M575" s="189">
        <f ca="1">IF(Daten!$V575&lt;&gt;Daten!$W575,1,IF(Daten!$V575=16,1,0))</f>
        <v>0</v>
      </c>
      <c r="N575" s="189">
        <f ca="1">IF(Daten!$W575=17,1,0)</f>
        <v>0</v>
      </c>
      <c r="O575" s="190">
        <f ca="1">IF(Daten!$X575=Sprache!$A$70,1,0)</f>
        <v>1</v>
      </c>
      <c r="P575" s="191">
        <f>IF(AND(Daten!$AQ575&lt;=KINVARO!$AW$3,Daten!$AR575&gt;=KINVARO!$AW$3)=TRUE,1,0)</f>
        <v>1</v>
      </c>
      <c r="Q575" s="192">
        <f>IF(AND(Daten!$AA575&lt;=KINVARO!$AW$4,Daten!$AB575&gt;=KINVARO!$AW$4)=TRUE,1,0)</f>
        <v>0</v>
      </c>
      <c r="R575" s="192"/>
      <c r="S575" s="192">
        <f>IF(AND(Daten!$AD575&lt;=Limits!$I$70,Daten!$AE575&gt;=Limits!$I$70)=TRUE,1,0)</f>
        <v>0</v>
      </c>
      <c r="T575" s="193">
        <f ca="1">IF(Daten!$Y575=Sprache!$A$135,1,0)</f>
        <v>0</v>
      </c>
      <c r="U575" s="124" t="str">
        <f ca="1">Sprache!$A$68</f>
        <v>T-65 Поворотный подъемник</v>
      </c>
      <c r="V575" s="194" t="str">
        <f ca="1">Sprache!$A$74</f>
        <v>var</v>
      </c>
      <c r="W575" s="193" t="str">
        <f ca="1">Sprache!$A$74</f>
        <v>var</v>
      </c>
      <c r="X575" s="187" t="str">
        <f ca="1">Sprache!$A$70</f>
        <v>соединение с древесиной</v>
      </c>
      <c r="Y575" s="187" t="str">
        <f ca="1">Sprache!$A$136</f>
        <v>nein</v>
      </c>
      <c r="Z575" s="187" t="str">
        <f ca="1">Sprache!$A$79</f>
        <v>Створка</v>
      </c>
      <c r="AA575" s="187">
        <v>500</v>
      </c>
      <c r="AB575" s="124">
        <v>549</v>
      </c>
      <c r="AC575" s="187"/>
      <c r="AD575" s="195">
        <v>1.3</v>
      </c>
      <c r="AE575" s="196">
        <v>3.9</v>
      </c>
      <c r="AF575" s="263" t="str">
        <f>MID(Tabelle2[[#This Row],[bnr full]],1,4)</f>
        <v>F151</v>
      </c>
      <c r="AG575" s="264" t="str">
        <f>MID(Tabelle2[[#This Row],[bnr full]],5,3)</f>
        <v>147</v>
      </c>
      <c r="AH575" s="265" t="str">
        <f>MID(Tabelle2[[#This Row],[bnr full]],8,3)</f>
        <v>682</v>
      </c>
      <c r="AI575" s="264" t="str">
        <f>MID(Tabelle2[[#This Row],[bnr full]],11,3)</f>
        <v>201</v>
      </c>
      <c r="AJ575" s="252" t="str">
        <f>MID(Tabelle2[[#This Row],[bnr full]],11,3)</f>
        <v>201</v>
      </c>
      <c r="AK575" s="197" t="s">
        <v>804</v>
      </c>
      <c r="AL575" s="124" t="str">
        <f ca="1">Sprache!$A$111</f>
        <v>Комплект (Л + П)</v>
      </c>
      <c r="AM575" s="187" t="s">
        <v>25</v>
      </c>
      <c r="AN575" s="187" t="str">
        <f ca="1">Sprache!$A$131</f>
        <v>Пружина, черная, двусторонняя</v>
      </c>
      <c r="AO575" s="187" t="s">
        <v>25</v>
      </c>
      <c r="AP575" s="187" t="s">
        <v>25</v>
      </c>
      <c r="AQ575" s="187">
        <f>Limits!$K$9</f>
        <v>200</v>
      </c>
      <c r="AR575" s="124">
        <v>1200</v>
      </c>
      <c r="AS575" s="187"/>
      <c r="AT575" s="124"/>
      <c r="AV575"/>
      <c r="AX575" s="10"/>
      <c r="AY575" s="11"/>
      <c r="AZ575" s="2"/>
      <c r="BC575"/>
    </row>
    <row r="576" spans="1:55" hidden="1" x14ac:dyDescent="0.25">
      <c r="A576" s="12" t="str">
        <f ca="1">IF(F576+G576+H576+I576+J576+D576+E576=3,IF(Tabelle2[[#This Row],[Kappe Weiß]]=Limits!$R$29,1,""),"")</f>
        <v/>
      </c>
      <c r="B576" s="12" t="str">
        <f ca="1">IF(G576+H576+I576+J576+E576+F576=2,IF(Tabelle2[[#This Row],[Kappe Weiß]]=Limits!$R$29,1,""),"")</f>
        <v/>
      </c>
      <c r="C576" s="291">
        <v>0</v>
      </c>
      <c r="D576" s="171">
        <f>IF(Limits!$P$6=TRUE,1,0)</f>
        <v>0</v>
      </c>
      <c r="E576" s="172">
        <f>IF(Daten!$P576+Daten!$Q576+Daten!$S576=3,1,0)</f>
        <v>0</v>
      </c>
      <c r="F576" s="173">
        <f ca="1">IF(AND(Limits!$Q$21=TRUE,Daten!O576=1)=TRUE,1,0)</f>
        <v>0</v>
      </c>
      <c r="G576" s="174">
        <f>IF(AND(Limits!$Q$25=TRUE,Daten!N576=1)=TRUE,1,0)</f>
        <v>0</v>
      </c>
      <c r="H576" s="174">
        <f>IF(AND(Limits!$Q$24=TRUE,Daten!M576=1)=TRUE,1,0)</f>
        <v>0</v>
      </c>
      <c r="I576" s="174">
        <f>IF(AND(Limits!$Q$23=TRUE,Daten!L576=1)=TRUE,1,0)</f>
        <v>0</v>
      </c>
      <c r="J576" s="174">
        <f>IF(AND(Limits!$Q$22=TRUE,Daten!K576=1)=TRUE,1,0)</f>
        <v>0</v>
      </c>
      <c r="K576" s="188">
        <f>IF(Daten!$V576=13,1,0)</f>
        <v>1</v>
      </c>
      <c r="L576" s="189">
        <f>IF(Daten!$V576&lt;&gt;Daten!$W576,1,IF(Daten!$V576=14,1,0))</f>
        <v>0</v>
      </c>
      <c r="M576" s="189">
        <f>IF(Daten!$V576&lt;&gt;Daten!$W576,1,IF(Daten!$V576=16,1,0))</f>
        <v>0</v>
      </c>
      <c r="N576" s="189">
        <f>IF(Daten!$W576=17,1,0)</f>
        <v>0</v>
      </c>
      <c r="O576" s="190">
        <f ca="1">IF(Daten!$X576=Sprache!$A$70,1,0)</f>
        <v>0</v>
      </c>
      <c r="P576" s="191">
        <f>IF(AND(Daten!$AQ576&lt;=KINVARO!$AW$3,Daten!$AR576&gt;=KINVARO!$AW$3)=TRUE,1,0)</f>
        <v>1</v>
      </c>
      <c r="Q576" s="192">
        <f>IF(AND(Daten!$AA576&lt;=KINVARO!$AW$4,Daten!$AB576&gt;=KINVARO!$AW$4)=TRUE,1,0)</f>
        <v>0</v>
      </c>
      <c r="R576" s="192"/>
      <c r="S576" s="192">
        <f>IF(AND(Daten!$AD576&lt;=Limits!$I$70,Daten!$AE576&gt;=Limits!$I$70)=TRUE,1,0)</f>
        <v>0</v>
      </c>
      <c r="T576" s="193">
        <f ca="1">IF(Daten!$Y576=Sprache!$A$135,1,0)</f>
        <v>0</v>
      </c>
      <c r="U576" s="124" t="str">
        <f ca="1">Sprache!$A$68</f>
        <v>T-65 Поворотный подъемник</v>
      </c>
      <c r="V576" s="194">
        <v>13</v>
      </c>
      <c r="W576" s="193">
        <v>13</v>
      </c>
      <c r="X576" s="187" t="str">
        <f ca="1">Sprache!$A$141</f>
        <v>Alu</v>
      </c>
      <c r="Y576" s="187" t="str">
        <f ca="1">Sprache!$A$136</f>
        <v>nein</v>
      </c>
      <c r="Z576" s="187" t="str">
        <f ca="1">Sprache!$A$79</f>
        <v>Створка</v>
      </c>
      <c r="AA576" s="187">
        <v>500</v>
      </c>
      <c r="AB576" s="124">
        <v>549</v>
      </c>
      <c r="AC576" s="187"/>
      <c r="AD576" s="195">
        <v>0.6</v>
      </c>
      <c r="AE576" s="196">
        <v>2</v>
      </c>
      <c r="AF576" s="263" t="str">
        <f>MID(Tabelle2[[#This Row],[bnr full]],1,4)</f>
        <v>F151</v>
      </c>
      <c r="AG576" s="264" t="str">
        <f>MID(Tabelle2[[#This Row],[bnr full]],5,3)</f>
        <v>147</v>
      </c>
      <c r="AH576" s="265" t="str">
        <f>MID(Tabelle2[[#This Row],[bnr full]],8,3)</f>
        <v>678</v>
      </c>
      <c r="AI576" s="264" t="str">
        <f>MID(Tabelle2[[#This Row],[bnr full]],11,3)</f>
        <v>201</v>
      </c>
      <c r="AJ576" s="252" t="str">
        <f>MID(Tabelle2[[#This Row],[bnr full]],11,3)</f>
        <v>201</v>
      </c>
      <c r="AK576" s="197" t="s">
        <v>805</v>
      </c>
      <c r="AL576" s="124" t="str">
        <f ca="1">Sprache!$A$111</f>
        <v>Комплект (Л + П)</v>
      </c>
      <c r="AM576" s="187" t="s">
        <v>25</v>
      </c>
      <c r="AN576" s="187" t="str">
        <f ca="1">Sprache!$A$130</f>
        <v>Пружина, желтая, двусторонняя</v>
      </c>
      <c r="AO576" s="187" t="s">
        <v>25</v>
      </c>
      <c r="AP576" s="187" t="s">
        <v>25</v>
      </c>
      <c r="AQ576" s="187">
        <f>Limits!$K$9</f>
        <v>200</v>
      </c>
      <c r="AR576" s="124">
        <v>1200</v>
      </c>
      <c r="AS576" s="187"/>
      <c r="AT576" s="124"/>
      <c r="AV576"/>
      <c r="AX576" s="10"/>
      <c r="AY576" s="11"/>
      <c r="AZ576" s="2"/>
      <c r="BC576"/>
    </row>
    <row r="577" spans="1:55" hidden="1" x14ac:dyDescent="0.25">
      <c r="A577" s="12" t="str">
        <f ca="1">IF(F577+G577+H577+I577+J577+D577+E577=3,IF(Tabelle2[[#This Row],[Kappe Weiß]]=Limits!$R$29,1,""),"")</f>
        <v/>
      </c>
      <c r="B577" s="12" t="str">
        <f ca="1">IF(G577+H577+I577+J577+E577+F577=2,IF(Tabelle2[[#This Row],[Kappe Weiß]]=Limits!$R$29,1,""),"")</f>
        <v/>
      </c>
      <c r="C577" s="291">
        <v>0</v>
      </c>
      <c r="D577" s="171">
        <f>IF(Limits!$P$6=TRUE,1,0)</f>
        <v>0</v>
      </c>
      <c r="E577" s="172">
        <f>IF(Daten!$P577+Daten!$Q577+Daten!$S577=3,1,0)</f>
        <v>0</v>
      </c>
      <c r="F577" s="173">
        <f ca="1">IF(AND(Limits!$Q$21=TRUE,Daten!O577=1)=TRUE,1,0)</f>
        <v>0</v>
      </c>
      <c r="G577" s="174">
        <f>IF(AND(Limits!$Q$25=TRUE,Daten!N577=1)=TRUE,1,0)</f>
        <v>0</v>
      </c>
      <c r="H577" s="174">
        <f>IF(AND(Limits!$Q$24=TRUE,Daten!M577=1)=TRUE,1,0)</f>
        <v>0</v>
      </c>
      <c r="I577" s="174">
        <f>IF(AND(Limits!$Q$23=TRUE,Daten!L577=1)=TRUE,1,0)</f>
        <v>0</v>
      </c>
      <c r="J577" s="174">
        <f>IF(AND(Limits!$Q$22=TRUE,Daten!K577=1)=TRUE,1,0)</f>
        <v>0</v>
      </c>
      <c r="K577" s="188">
        <f>IF(Daten!$V577=13,1,0)</f>
        <v>1</v>
      </c>
      <c r="L577" s="189">
        <f>IF(Daten!$V577&lt;&gt;Daten!$W577,1,IF(Daten!$V577=14,1,0))</f>
        <v>0</v>
      </c>
      <c r="M577" s="189">
        <f>IF(Daten!$V577&lt;&gt;Daten!$W577,1,IF(Daten!$V577=16,1,0))</f>
        <v>0</v>
      </c>
      <c r="N577" s="189">
        <f>IF(Daten!$W577=17,1,0)</f>
        <v>0</v>
      </c>
      <c r="O577" s="190">
        <f ca="1">IF(Daten!$X577=Sprache!$A$70,1,0)</f>
        <v>0</v>
      </c>
      <c r="P577" s="191">
        <f>IF(AND(Daten!$AQ577&lt;=KINVARO!$AW$3,Daten!$AR577&gt;=KINVARO!$AW$3)=TRUE,1,0)</f>
        <v>1</v>
      </c>
      <c r="Q577" s="192">
        <f>IF(AND(Daten!$AA577&lt;=KINVARO!$AW$4,Daten!$AB577&gt;=KINVARO!$AW$4)=TRUE,1,0)</f>
        <v>0</v>
      </c>
      <c r="R577" s="192"/>
      <c r="S577" s="192">
        <f>IF(AND(Daten!$AD577&lt;=Limits!$I$70,Daten!$AE577&gt;=Limits!$I$70)=TRUE,1,0)</f>
        <v>0</v>
      </c>
      <c r="T577" s="193">
        <f ca="1">IF(Daten!$Y577=Sprache!$A$135,1,0)</f>
        <v>0</v>
      </c>
      <c r="U577" s="124" t="str">
        <f ca="1">Sprache!$A$68</f>
        <v>T-65 Поворотный подъемник</v>
      </c>
      <c r="V577" s="194">
        <v>13</v>
      </c>
      <c r="W577" s="193">
        <v>13</v>
      </c>
      <c r="X577" s="187" t="str">
        <f ca="1">Sprache!$A$141</f>
        <v>Alu</v>
      </c>
      <c r="Y577" s="187" t="str">
        <f ca="1">Sprache!$A$136</f>
        <v>nein</v>
      </c>
      <c r="Z577" s="187" t="str">
        <f ca="1">Sprache!$A$79</f>
        <v>Створка</v>
      </c>
      <c r="AA577" s="187">
        <v>500</v>
      </c>
      <c r="AB577" s="124">
        <v>549</v>
      </c>
      <c r="AC577" s="187"/>
      <c r="AD577" s="195">
        <v>1.3</v>
      </c>
      <c r="AE577" s="196">
        <v>3.9</v>
      </c>
      <c r="AF577" s="263" t="str">
        <f>MID(Tabelle2[[#This Row],[bnr full]],1,4)</f>
        <v>F151</v>
      </c>
      <c r="AG577" s="264" t="str">
        <f>MID(Tabelle2[[#This Row],[bnr full]],5,3)</f>
        <v>147</v>
      </c>
      <c r="AH577" s="265" t="str">
        <f>MID(Tabelle2[[#This Row],[bnr full]],8,3)</f>
        <v>678</v>
      </c>
      <c r="AI577" s="264" t="str">
        <f>MID(Tabelle2[[#This Row],[bnr full]],11,3)</f>
        <v>201</v>
      </c>
      <c r="AJ577" s="252" t="str">
        <f>MID(Tabelle2[[#This Row],[bnr full]],11,3)</f>
        <v>201</v>
      </c>
      <c r="AK577" s="197" t="s">
        <v>805</v>
      </c>
      <c r="AL577" s="124" t="str">
        <f ca="1">Sprache!$A$111</f>
        <v>Комплект (Л + П)</v>
      </c>
      <c r="AM577" s="187" t="s">
        <v>25</v>
      </c>
      <c r="AN577" s="187" t="str">
        <f ca="1">Sprache!$A$131</f>
        <v>Пружина, черная, двусторонняя</v>
      </c>
      <c r="AO577" s="187" t="s">
        <v>25</v>
      </c>
      <c r="AP577" s="187" t="s">
        <v>25</v>
      </c>
      <c r="AQ577" s="187">
        <f>Limits!$K$9</f>
        <v>200</v>
      </c>
      <c r="AR577" s="124">
        <v>1200</v>
      </c>
      <c r="AS577" s="187"/>
      <c r="AT577" s="124"/>
      <c r="AV577"/>
      <c r="AX577" s="10"/>
      <c r="AY577" s="11"/>
      <c r="AZ577" s="2"/>
      <c r="BC577"/>
    </row>
    <row r="578" spans="1:55" hidden="1" x14ac:dyDescent="0.25">
      <c r="A578" s="12" t="str">
        <f ca="1">IF(F578+G578+H578+I578+J578+D578+E578=3,IF(Tabelle2[[#This Row],[Kappe Weiß]]=Limits!$R$29,1,""),"")</f>
        <v/>
      </c>
      <c r="B578" s="12" t="str">
        <f ca="1">IF(G578+H578+I578+J578+E578+F578=2,IF(Tabelle2[[#This Row],[Kappe Weiß]]=Limits!$R$29,1,""),"")</f>
        <v/>
      </c>
      <c r="C578" s="291">
        <v>0</v>
      </c>
      <c r="D578" s="171">
        <f>IF(Limits!$P$6=TRUE,1,0)</f>
        <v>0</v>
      </c>
      <c r="E578" s="172">
        <f>IF(Daten!$P578+Daten!$Q578+Daten!$S578=3,1,0)</f>
        <v>0</v>
      </c>
      <c r="F578" s="173">
        <f ca="1">IF(AND(Limits!$Q$21=TRUE,Daten!O578=1)=TRUE,1,0)</f>
        <v>0</v>
      </c>
      <c r="G578" s="174">
        <f>IF(AND(Limits!$Q$25=TRUE,Daten!N578=1)=TRUE,1,0)</f>
        <v>0</v>
      </c>
      <c r="H578" s="174">
        <f>IF(AND(Limits!$Q$24=TRUE,Daten!M578=1)=TRUE,1,0)</f>
        <v>0</v>
      </c>
      <c r="I578" s="174">
        <f>IF(AND(Limits!$Q$23=TRUE,Daten!L578=1)=TRUE,1,0)</f>
        <v>0</v>
      </c>
      <c r="J578" s="174">
        <f>IF(AND(Limits!$Q$22=TRUE,Daten!K578=1)=TRUE,1,0)</f>
        <v>0</v>
      </c>
      <c r="K578" s="188">
        <f>IF(Daten!$V578=13,1,0)</f>
        <v>0</v>
      </c>
      <c r="L578" s="189">
        <f>IF(Daten!$V578&lt;&gt;Daten!$W578,1,IF(Daten!$V578=14,1,0))</f>
        <v>1</v>
      </c>
      <c r="M578" s="189">
        <f>IF(Daten!$V578&lt;&gt;Daten!$W578,1,IF(Daten!$V578=16,1,0))</f>
        <v>0</v>
      </c>
      <c r="N578" s="189">
        <f>IF(Daten!$W578=17,1,0)</f>
        <v>0</v>
      </c>
      <c r="O578" s="190">
        <f ca="1">IF(Daten!$X578=Sprache!$A$70,1,0)</f>
        <v>0</v>
      </c>
      <c r="P578" s="191">
        <f>IF(AND(Daten!$AQ578&lt;=KINVARO!$AW$3,Daten!$AR578&gt;=KINVARO!$AW$3)=TRUE,1,0)</f>
        <v>1</v>
      </c>
      <c r="Q578" s="192">
        <f>IF(AND(Daten!$AA578&lt;=KINVARO!$AW$4,Daten!$AB578&gt;=KINVARO!$AW$4)=TRUE,1,0)</f>
        <v>0</v>
      </c>
      <c r="R578" s="192"/>
      <c r="S578" s="192">
        <f>IF(AND(Daten!$AD578&lt;=Limits!$I$70,Daten!$AE578&gt;=Limits!$I$70)=TRUE,1,0)</f>
        <v>0</v>
      </c>
      <c r="T578" s="193">
        <f ca="1">IF(Daten!$Y578=Sprache!$A$135,1,0)</f>
        <v>0</v>
      </c>
      <c r="U578" s="124" t="str">
        <f ca="1">Sprache!$A$68</f>
        <v>T-65 Поворотный подъемник</v>
      </c>
      <c r="V578" s="194">
        <v>14</v>
      </c>
      <c r="W578" s="193">
        <v>14</v>
      </c>
      <c r="X578" s="187" t="str">
        <f ca="1">Sprache!$A$141</f>
        <v>Alu</v>
      </c>
      <c r="Y578" s="187" t="str">
        <f ca="1">Sprache!$A$136</f>
        <v>nein</v>
      </c>
      <c r="Z578" s="187" t="str">
        <f ca="1">Sprache!$A$79</f>
        <v>Створка</v>
      </c>
      <c r="AA578" s="187">
        <v>500</v>
      </c>
      <c r="AB578" s="124">
        <v>549</v>
      </c>
      <c r="AC578" s="187"/>
      <c r="AD578" s="195">
        <v>0.6</v>
      </c>
      <c r="AE578" s="196">
        <v>2</v>
      </c>
      <c r="AF578" s="263" t="str">
        <f>MID(Tabelle2[[#This Row],[bnr full]],1,4)</f>
        <v>F151</v>
      </c>
      <c r="AG578" s="264" t="str">
        <f>MID(Tabelle2[[#This Row],[bnr full]],5,3)</f>
        <v>147</v>
      </c>
      <c r="AH578" s="265" t="str">
        <f>MID(Tabelle2[[#This Row],[bnr full]],8,3)</f>
        <v>679</v>
      </c>
      <c r="AI578" s="264" t="str">
        <f>MID(Tabelle2[[#This Row],[bnr full]],11,3)</f>
        <v>201</v>
      </c>
      <c r="AJ578" s="252" t="str">
        <f>MID(Tabelle2[[#This Row],[bnr full]],11,3)</f>
        <v>201</v>
      </c>
      <c r="AK578" s="197" t="s">
        <v>806</v>
      </c>
      <c r="AL578" s="124" t="str">
        <f ca="1">Sprache!$A$111</f>
        <v>Комплект (Л + П)</v>
      </c>
      <c r="AM578" s="187" t="s">
        <v>25</v>
      </c>
      <c r="AN578" s="187" t="str">
        <f ca="1">Sprache!$A$130</f>
        <v>Пружина, желтая, двусторонняя</v>
      </c>
      <c r="AO578" s="187" t="s">
        <v>25</v>
      </c>
      <c r="AP578" s="187" t="s">
        <v>25</v>
      </c>
      <c r="AQ578" s="187">
        <f>Limits!$K$9</f>
        <v>200</v>
      </c>
      <c r="AR578" s="124">
        <v>1200</v>
      </c>
      <c r="AS578" s="187"/>
      <c r="AT578" s="124"/>
      <c r="AV578"/>
      <c r="AX578" s="10"/>
      <c r="AY578" s="11"/>
      <c r="AZ578" s="2"/>
      <c r="BC578"/>
    </row>
    <row r="579" spans="1:55" hidden="1" x14ac:dyDescent="0.25">
      <c r="A579" s="12" t="str">
        <f ca="1">IF(F579+G579+H579+I579+J579+D579+E579=3,IF(Tabelle2[[#This Row],[Kappe Weiß]]=Limits!$R$29,1,""),"")</f>
        <v/>
      </c>
      <c r="B579" s="12" t="str">
        <f ca="1">IF(G579+H579+I579+J579+E579+F579=2,IF(Tabelle2[[#This Row],[Kappe Weiß]]=Limits!$R$29,1,""),"")</f>
        <v/>
      </c>
      <c r="C579" s="291">
        <v>0</v>
      </c>
      <c r="D579" s="171">
        <f>IF(Limits!$P$6=TRUE,1,0)</f>
        <v>0</v>
      </c>
      <c r="E579" s="172">
        <f>IF(Daten!$P579+Daten!$Q579+Daten!$S579=3,1,0)</f>
        <v>0</v>
      </c>
      <c r="F579" s="173">
        <f ca="1">IF(AND(Limits!$Q$21=TRUE,Daten!O579=1)=TRUE,1,0)</f>
        <v>0</v>
      </c>
      <c r="G579" s="174">
        <f>IF(AND(Limits!$Q$25=TRUE,Daten!N579=1)=TRUE,1,0)</f>
        <v>0</v>
      </c>
      <c r="H579" s="174">
        <f>IF(AND(Limits!$Q$24=TRUE,Daten!M579=1)=TRUE,1,0)</f>
        <v>0</v>
      </c>
      <c r="I579" s="174">
        <f>IF(AND(Limits!$Q$23=TRUE,Daten!L579=1)=TRUE,1,0)</f>
        <v>0</v>
      </c>
      <c r="J579" s="174">
        <f>IF(AND(Limits!$Q$22=TRUE,Daten!K579=1)=TRUE,1,0)</f>
        <v>0</v>
      </c>
      <c r="K579" s="188">
        <f>IF(Daten!$V579=13,1,0)</f>
        <v>0</v>
      </c>
      <c r="L579" s="189">
        <f>IF(Daten!$V579&lt;&gt;Daten!$W579,1,IF(Daten!$V579=14,1,0))</f>
        <v>1</v>
      </c>
      <c r="M579" s="189">
        <f>IF(Daten!$V579&lt;&gt;Daten!$W579,1,IF(Daten!$V579=16,1,0))</f>
        <v>0</v>
      </c>
      <c r="N579" s="189">
        <f>IF(Daten!$W579=17,1,0)</f>
        <v>0</v>
      </c>
      <c r="O579" s="190">
        <f ca="1">IF(Daten!$X579=Sprache!$A$70,1,0)</f>
        <v>0</v>
      </c>
      <c r="P579" s="191">
        <f>IF(AND(Daten!$AQ579&lt;=KINVARO!$AW$3,Daten!$AR579&gt;=KINVARO!$AW$3)=TRUE,1,0)</f>
        <v>1</v>
      </c>
      <c r="Q579" s="192">
        <f>IF(AND(Daten!$AA579&lt;=KINVARO!$AW$4,Daten!$AB579&gt;=KINVARO!$AW$4)=TRUE,1,0)</f>
        <v>0</v>
      </c>
      <c r="R579" s="192"/>
      <c r="S579" s="192">
        <f>IF(AND(Daten!$AD579&lt;=Limits!$I$70,Daten!$AE579&gt;=Limits!$I$70)=TRUE,1,0)</f>
        <v>0</v>
      </c>
      <c r="T579" s="193">
        <f ca="1">IF(Daten!$Y579=Sprache!$A$135,1,0)</f>
        <v>0</v>
      </c>
      <c r="U579" s="124" t="str">
        <f ca="1">Sprache!$A$68</f>
        <v>T-65 Поворотный подъемник</v>
      </c>
      <c r="V579" s="194">
        <v>14</v>
      </c>
      <c r="W579" s="193">
        <v>14</v>
      </c>
      <c r="X579" s="187" t="str">
        <f ca="1">Sprache!$A$141</f>
        <v>Alu</v>
      </c>
      <c r="Y579" s="187" t="str">
        <f ca="1">Sprache!$A$136</f>
        <v>nein</v>
      </c>
      <c r="Z579" s="187" t="str">
        <f ca="1">Sprache!$A$79</f>
        <v>Створка</v>
      </c>
      <c r="AA579" s="187">
        <v>500</v>
      </c>
      <c r="AB579" s="124">
        <v>549</v>
      </c>
      <c r="AC579" s="187"/>
      <c r="AD579" s="195">
        <v>1.3</v>
      </c>
      <c r="AE579" s="196">
        <v>3.9</v>
      </c>
      <c r="AF579" s="263" t="str">
        <f>MID(Tabelle2[[#This Row],[bnr full]],1,4)</f>
        <v>F151</v>
      </c>
      <c r="AG579" s="264" t="str">
        <f>MID(Tabelle2[[#This Row],[bnr full]],5,3)</f>
        <v>147</v>
      </c>
      <c r="AH579" s="265" t="str">
        <f>MID(Tabelle2[[#This Row],[bnr full]],8,3)</f>
        <v>679</v>
      </c>
      <c r="AI579" s="264" t="str">
        <f>MID(Tabelle2[[#This Row],[bnr full]],11,3)</f>
        <v>201</v>
      </c>
      <c r="AJ579" s="252" t="str">
        <f>MID(Tabelle2[[#This Row],[bnr full]],11,3)</f>
        <v>201</v>
      </c>
      <c r="AK579" s="197" t="s">
        <v>806</v>
      </c>
      <c r="AL579" s="124" t="str">
        <f ca="1">Sprache!$A$111</f>
        <v>Комплект (Л + П)</v>
      </c>
      <c r="AM579" s="187" t="s">
        <v>25</v>
      </c>
      <c r="AN579" s="187" t="str">
        <f ca="1">Sprache!$A$131</f>
        <v>Пружина, черная, двусторонняя</v>
      </c>
      <c r="AO579" s="187" t="s">
        <v>25</v>
      </c>
      <c r="AP579" s="187" t="s">
        <v>25</v>
      </c>
      <c r="AQ579" s="187">
        <f>Limits!$K$9</f>
        <v>200</v>
      </c>
      <c r="AR579" s="124">
        <v>1200</v>
      </c>
      <c r="AS579" s="187"/>
      <c r="AT579" s="124"/>
      <c r="AV579"/>
      <c r="AX579" s="10"/>
      <c r="AY579" s="11"/>
      <c r="AZ579" s="2"/>
      <c r="BC579"/>
    </row>
    <row r="580" spans="1:55" hidden="1" x14ac:dyDescent="0.25">
      <c r="A580" s="12" t="str">
        <f ca="1">IF(F580+G580+H580+I580+J580+D580+E580=3,IF(Tabelle2[[#This Row],[Kappe Weiß]]=Limits!$R$29,1,""),"")</f>
        <v/>
      </c>
      <c r="B580" s="12" t="str">
        <f ca="1">IF(G580+H580+I580+J580+E580+F580=2,IF(Tabelle2[[#This Row],[Kappe Weiß]]=Limits!$R$29,1,""),"")</f>
        <v/>
      </c>
      <c r="C580" s="291">
        <v>0</v>
      </c>
      <c r="D580" s="171">
        <f>IF(Limits!$P$6=TRUE,1,0)</f>
        <v>0</v>
      </c>
      <c r="E580" s="172">
        <f>IF(Daten!$P580+Daten!$Q580+Daten!$S580=3,1,0)</f>
        <v>0</v>
      </c>
      <c r="F580" s="173">
        <f ca="1">IF(AND(Limits!$Q$21=TRUE,Daten!O580=1)=TRUE,1,0)</f>
        <v>0</v>
      </c>
      <c r="G580" s="174">
        <f>IF(AND(Limits!$Q$25=TRUE,Daten!N580=1)=TRUE,1,0)</f>
        <v>0</v>
      </c>
      <c r="H580" s="174">
        <f>IF(AND(Limits!$Q$24=TRUE,Daten!M580=1)=TRUE,1,0)</f>
        <v>0</v>
      </c>
      <c r="I580" s="174">
        <f>IF(AND(Limits!$Q$23=TRUE,Daten!L580=1)=TRUE,1,0)</f>
        <v>0</v>
      </c>
      <c r="J580" s="174">
        <f>IF(AND(Limits!$Q$22=TRUE,Daten!K580=1)=TRUE,1,0)</f>
        <v>0</v>
      </c>
      <c r="K580" s="188">
        <f>IF(Daten!$V580=13,1,0)</f>
        <v>0</v>
      </c>
      <c r="L580" s="189">
        <f>IF(Daten!$V580&lt;&gt;Daten!$W580,1,IF(Daten!$V580=14,1,0))</f>
        <v>0</v>
      </c>
      <c r="M580" s="189">
        <f>IF(Daten!$V580&lt;&gt;Daten!$W580,1,IF(Daten!$V580=16,1,0))</f>
        <v>1</v>
      </c>
      <c r="N580" s="189">
        <f>IF(Daten!$W580=17,1,0)</f>
        <v>0</v>
      </c>
      <c r="O580" s="190">
        <f ca="1">IF(Daten!$X580=Sprache!$A$70,1,0)</f>
        <v>0</v>
      </c>
      <c r="P580" s="191">
        <f>IF(AND(Daten!$AQ580&lt;=KINVARO!$AW$3,Daten!$AR580&gt;=KINVARO!$AW$3)=TRUE,1,0)</f>
        <v>1</v>
      </c>
      <c r="Q580" s="192">
        <f>IF(AND(Daten!$AA580&lt;=KINVARO!$AW$4,Daten!$AB580&gt;=KINVARO!$AW$4)=TRUE,1,0)</f>
        <v>0</v>
      </c>
      <c r="R580" s="192"/>
      <c r="S580" s="192">
        <f>IF(AND(Daten!$AD580&lt;=Limits!$I$70,Daten!$AE580&gt;=Limits!$I$70)=TRUE,1,0)</f>
        <v>0</v>
      </c>
      <c r="T580" s="193">
        <f ca="1">IF(Daten!$Y580=Sprache!$A$135,1,0)</f>
        <v>0</v>
      </c>
      <c r="U580" s="124" t="str">
        <f ca="1">Sprache!$A$68</f>
        <v>T-65 Поворотный подъемник</v>
      </c>
      <c r="V580" s="194">
        <v>16</v>
      </c>
      <c r="W580" s="193">
        <v>16</v>
      </c>
      <c r="X580" s="187" t="str">
        <f ca="1">Sprache!$A$141</f>
        <v>Alu</v>
      </c>
      <c r="Y580" s="187" t="str">
        <f ca="1">Sprache!$A$136</f>
        <v>nein</v>
      </c>
      <c r="Z580" s="187" t="str">
        <f ca="1">Sprache!$A$79</f>
        <v>Створка</v>
      </c>
      <c r="AA580" s="187">
        <v>500</v>
      </c>
      <c r="AB580" s="124">
        <v>549</v>
      </c>
      <c r="AC580" s="187"/>
      <c r="AD580" s="195">
        <v>0.6</v>
      </c>
      <c r="AE580" s="196">
        <v>2</v>
      </c>
      <c r="AF580" s="263" t="str">
        <f>MID(Tabelle2[[#This Row],[bnr full]],1,4)</f>
        <v>F151</v>
      </c>
      <c r="AG580" s="264" t="str">
        <f>MID(Tabelle2[[#This Row],[bnr full]],5,3)</f>
        <v>147</v>
      </c>
      <c r="AH580" s="265" t="str">
        <f>MID(Tabelle2[[#This Row],[bnr full]],8,3)</f>
        <v>680</v>
      </c>
      <c r="AI580" s="264" t="str">
        <f>MID(Tabelle2[[#This Row],[bnr full]],11,3)</f>
        <v>201</v>
      </c>
      <c r="AJ580" s="252" t="str">
        <f>MID(Tabelle2[[#This Row],[bnr full]],11,3)</f>
        <v>201</v>
      </c>
      <c r="AK580" s="197" t="s">
        <v>807</v>
      </c>
      <c r="AL580" s="124" t="str">
        <f ca="1">Sprache!$A$111</f>
        <v>Комплект (Л + П)</v>
      </c>
      <c r="AM580" s="187" t="s">
        <v>25</v>
      </c>
      <c r="AN580" s="187" t="str">
        <f ca="1">Sprache!$A$130</f>
        <v>Пружина, желтая, двусторонняя</v>
      </c>
      <c r="AO580" s="187" t="s">
        <v>25</v>
      </c>
      <c r="AP580" s="187" t="s">
        <v>25</v>
      </c>
      <c r="AQ580" s="187">
        <f>Limits!$K$9</f>
        <v>200</v>
      </c>
      <c r="AR580" s="124">
        <v>1200</v>
      </c>
      <c r="AS580" s="187"/>
      <c r="AT580" s="124"/>
      <c r="AV580"/>
      <c r="AX580" s="10"/>
      <c r="AY580" s="11"/>
      <c r="AZ580" s="2"/>
      <c r="BC580"/>
    </row>
    <row r="581" spans="1:55" hidden="1" x14ac:dyDescent="0.25">
      <c r="A581" s="12" t="str">
        <f ca="1">IF(F581+G581+H581+I581+J581+D581+E581=3,IF(Tabelle2[[#This Row],[Kappe Weiß]]=Limits!$R$29,1,""),"")</f>
        <v/>
      </c>
      <c r="B581" s="12" t="str">
        <f ca="1">IF(G581+H581+I581+J581+E581+F581=2,IF(Tabelle2[[#This Row],[Kappe Weiß]]=Limits!$R$29,1,""),"")</f>
        <v/>
      </c>
      <c r="C581" s="291">
        <v>0</v>
      </c>
      <c r="D581" s="171">
        <f>IF(Limits!$P$6=TRUE,1,0)</f>
        <v>0</v>
      </c>
      <c r="E581" s="172">
        <f>IF(Daten!$P581+Daten!$Q581+Daten!$S581=3,1,0)</f>
        <v>0</v>
      </c>
      <c r="F581" s="173">
        <f ca="1">IF(AND(Limits!$Q$21=TRUE,Daten!O581=1)=TRUE,1,0)</f>
        <v>0</v>
      </c>
      <c r="G581" s="174">
        <f>IF(AND(Limits!$Q$25=TRUE,Daten!N581=1)=TRUE,1,0)</f>
        <v>0</v>
      </c>
      <c r="H581" s="174">
        <f>IF(AND(Limits!$Q$24=TRUE,Daten!M581=1)=TRUE,1,0)</f>
        <v>0</v>
      </c>
      <c r="I581" s="174">
        <f>IF(AND(Limits!$Q$23=TRUE,Daten!L581=1)=TRUE,1,0)</f>
        <v>0</v>
      </c>
      <c r="J581" s="174">
        <f>IF(AND(Limits!$Q$22=TRUE,Daten!K581=1)=TRUE,1,0)</f>
        <v>0</v>
      </c>
      <c r="K581" s="188">
        <f>IF(Daten!$V581=13,1,0)</f>
        <v>0</v>
      </c>
      <c r="L581" s="189">
        <f>IF(Daten!$V581&lt;&gt;Daten!$W581,1,IF(Daten!$V581=14,1,0))</f>
        <v>0</v>
      </c>
      <c r="M581" s="189">
        <f>IF(Daten!$V581&lt;&gt;Daten!$W581,1,IF(Daten!$V581=16,1,0))</f>
        <v>1</v>
      </c>
      <c r="N581" s="189">
        <f>IF(Daten!$W581=17,1,0)</f>
        <v>0</v>
      </c>
      <c r="O581" s="190">
        <f ca="1">IF(Daten!$X581=Sprache!$A$70,1,0)</f>
        <v>0</v>
      </c>
      <c r="P581" s="191">
        <f>IF(AND(Daten!$AQ581&lt;=KINVARO!$AW$3,Daten!$AR581&gt;=KINVARO!$AW$3)=TRUE,1,0)</f>
        <v>1</v>
      </c>
      <c r="Q581" s="192">
        <f>IF(AND(Daten!$AA581&lt;=KINVARO!$AW$4,Daten!$AB581&gt;=KINVARO!$AW$4)=TRUE,1,0)</f>
        <v>0</v>
      </c>
      <c r="R581" s="192"/>
      <c r="S581" s="192">
        <f>IF(AND(Daten!$AD581&lt;=Limits!$I$70,Daten!$AE581&gt;=Limits!$I$70)=TRUE,1,0)</f>
        <v>0</v>
      </c>
      <c r="T581" s="193">
        <f ca="1">IF(Daten!$Y581=Sprache!$A$135,1,0)</f>
        <v>0</v>
      </c>
      <c r="U581" s="124" t="str">
        <f ca="1">Sprache!$A$68</f>
        <v>T-65 Поворотный подъемник</v>
      </c>
      <c r="V581" s="194">
        <v>16</v>
      </c>
      <c r="W581" s="193">
        <v>16</v>
      </c>
      <c r="X581" s="187" t="str">
        <f ca="1">Sprache!$A$141</f>
        <v>Alu</v>
      </c>
      <c r="Y581" s="187" t="str">
        <f ca="1">Sprache!$A$136</f>
        <v>nein</v>
      </c>
      <c r="Z581" s="187" t="str">
        <f ca="1">Sprache!$A$79</f>
        <v>Створка</v>
      </c>
      <c r="AA581" s="187">
        <v>500</v>
      </c>
      <c r="AB581" s="124">
        <v>549</v>
      </c>
      <c r="AC581" s="187"/>
      <c r="AD581" s="195">
        <v>1.3</v>
      </c>
      <c r="AE581" s="196">
        <v>3.9</v>
      </c>
      <c r="AF581" s="263" t="str">
        <f>MID(Tabelle2[[#This Row],[bnr full]],1,4)</f>
        <v>F151</v>
      </c>
      <c r="AG581" s="264" t="str">
        <f>MID(Tabelle2[[#This Row],[bnr full]],5,3)</f>
        <v>147</v>
      </c>
      <c r="AH581" s="265" t="str">
        <f>MID(Tabelle2[[#This Row],[bnr full]],8,3)</f>
        <v>680</v>
      </c>
      <c r="AI581" s="264" t="str">
        <f>MID(Tabelle2[[#This Row],[bnr full]],11,3)</f>
        <v>201</v>
      </c>
      <c r="AJ581" s="252" t="str">
        <f>MID(Tabelle2[[#This Row],[bnr full]],11,3)</f>
        <v>201</v>
      </c>
      <c r="AK581" s="197" t="s">
        <v>807</v>
      </c>
      <c r="AL581" s="124" t="str">
        <f ca="1">Sprache!$A$111</f>
        <v>Комплект (Л + П)</v>
      </c>
      <c r="AM581" s="187" t="s">
        <v>25</v>
      </c>
      <c r="AN581" s="187" t="str">
        <f ca="1">Sprache!$A$131</f>
        <v>Пружина, черная, двусторонняя</v>
      </c>
      <c r="AO581" s="187" t="s">
        <v>25</v>
      </c>
      <c r="AP581" s="187" t="s">
        <v>25</v>
      </c>
      <c r="AQ581" s="187">
        <f>Limits!$K$9</f>
        <v>200</v>
      </c>
      <c r="AR581" s="124">
        <v>1200</v>
      </c>
      <c r="AS581" s="187"/>
      <c r="AT581" s="124"/>
      <c r="AV581"/>
      <c r="AX581" s="10"/>
      <c r="AY581" s="11"/>
      <c r="AZ581" s="2"/>
      <c r="BC581"/>
    </row>
    <row r="582" spans="1:55" hidden="1" x14ac:dyDescent="0.25">
      <c r="A582" s="12" t="str">
        <f ca="1">IF(F582+G582+H582+I582+J582+D582+E582=3,IF(Tabelle2[[#This Row],[Kappe Weiß]]=Limits!$R$29,1,""),"")</f>
        <v/>
      </c>
      <c r="B582" s="12" t="str">
        <f ca="1">IF(G582+H582+I582+J582+E582+F582=2,IF(Tabelle2[[#This Row],[Kappe Weiß]]=Limits!$R$29,1,""),"")</f>
        <v/>
      </c>
      <c r="C582" s="291">
        <v>0</v>
      </c>
      <c r="D582" s="171">
        <f>IF(Limits!$P$6=TRUE,1,0)</f>
        <v>0</v>
      </c>
      <c r="E582" s="172">
        <f>IF(Daten!$P582+Daten!$Q582+Daten!$S582=3,1,0)</f>
        <v>0</v>
      </c>
      <c r="F582" s="173">
        <f ca="1">IF(AND(Limits!$Q$21=TRUE,Daten!O582=1)=TRUE,1,0)</f>
        <v>0</v>
      </c>
      <c r="G582" s="174">
        <f>IF(AND(Limits!$Q$25=TRUE,Daten!N582=1)=TRUE,1,0)</f>
        <v>0</v>
      </c>
      <c r="H582" s="174">
        <f>IF(AND(Limits!$Q$24=TRUE,Daten!M582=1)=TRUE,1,0)</f>
        <v>0</v>
      </c>
      <c r="I582" s="174">
        <f>IF(AND(Limits!$Q$23=TRUE,Daten!L582=1)=TRUE,1,0)</f>
        <v>0</v>
      </c>
      <c r="J582" s="174">
        <f>IF(AND(Limits!$Q$22=TRUE,Daten!K582=1)=TRUE,1,0)</f>
        <v>0</v>
      </c>
      <c r="K582" s="188">
        <f>IF(Daten!$V582=13,1,0)</f>
        <v>0</v>
      </c>
      <c r="L582" s="189">
        <f>IF(Daten!$V582&lt;&gt;Daten!$W582,1,IF(Daten!$V582=14,1,0))</f>
        <v>0</v>
      </c>
      <c r="M582" s="189">
        <f>IF(Daten!$V582&lt;&gt;Daten!$W582,1,IF(Daten!$V582=16,1,0))</f>
        <v>0</v>
      </c>
      <c r="N582" s="189">
        <f>IF(Daten!$W582=17,1,0)</f>
        <v>1</v>
      </c>
      <c r="O582" s="190">
        <f ca="1">IF(Daten!$X582=Sprache!$A$70,1,0)</f>
        <v>0</v>
      </c>
      <c r="P582" s="191">
        <f>IF(AND(Daten!$AQ582&lt;=KINVARO!$AW$3,Daten!$AR582&gt;=KINVARO!$AW$3)=TRUE,1,0)</f>
        <v>1</v>
      </c>
      <c r="Q582" s="192">
        <f>IF(AND(Daten!$AA582&lt;=KINVARO!$AW$4,Daten!$AB582&gt;=KINVARO!$AW$4)=TRUE,1,0)</f>
        <v>0</v>
      </c>
      <c r="R582" s="192"/>
      <c r="S582" s="192">
        <f>IF(AND(Daten!$AD582&lt;=Limits!$I$70,Daten!$AE582&gt;=Limits!$I$70)=TRUE,1,0)</f>
        <v>0</v>
      </c>
      <c r="T582" s="193">
        <f ca="1">IF(Daten!$Y582=Sprache!$A$135,1,0)</f>
        <v>0</v>
      </c>
      <c r="U582" s="124" t="str">
        <f ca="1">Sprache!$A$68</f>
        <v>T-65 Поворотный подъемник</v>
      </c>
      <c r="V582" s="194">
        <v>17</v>
      </c>
      <c r="W582" s="193">
        <v>17</v>
      </c>
      <c r="X582" s="187" t="str">
        <f ca="1">Sprache!$A$141</f>
        <v>Alu</v>
      </c>
      <c r="Y582" s="187" t="str">
        <f ca="1">Sprache!$A$136</f>
        <v>nein</v>
      </c>
      <c r="Z582" s="187" t="str">
        <f ca="1">Sprache!$A$79</f>
        <v>Створка</v>
      </c>
      <c r="AA582" s="187">
        <v>500</v>
      </c>
      <c r="AB582" s="124">
        <v>549</v>
      </c>
      <c r="AC582" s="187"/>
      <c r="AD582" s="195">
        <v>0.6</v>
      </c>
      <c r="AE582" s="196">
        <v>2</v>
      </c>
      <c r="AF582" s="263" t="str">
        <f>MID(Tabelle2[[#This Row],[bnr full]],1,4)</f>
        <v>F151</v>
      </c>
      <c r="AG582" s="264" t="str">
        <f>MID(Tabelle2[[#This Row],[bnr full]],5,3)</f>
        <v>147</v>
      </c>
      <c r="AH582" s="265" t="str">
        <f>MID(Tabelle2[[#This Row],[bnr full]],8,3)</f>
        <v>681</v>
      </c>
      <c r="AI582" s="264" t="str">
        <f>MID(Tabelle2[[#This Row],[bnr full]],11,3)</f>
        <v>201</v>
      </c>
      <c r="AJ582" s="252" t="str">
        <f>MID(Tabelle2[[#This Row],[bnr full]],11,3)</f>
        <v>201</v>
      </c>
      <c r="AK582" s="197" t="s">
        <v>808</v>
      </c>
      <c r="AL582" s="124" t="str">
        <f ca="1">Sprache!$A$111</f>
        <v>Комплект (Л + П)</v>
      </c>
      <c r="AM582" s="187" t="s">
        <v>25</v>
      </c>
      <c r="AN582" s="187" t="str">
        <f ca="1">Sprache!$A$130</f>
        <v>Пружина, желтая, двусторонняя</v>
      </c>
      <c r="AO582" s="187" t="s">
        <v>25</v>
      </c>
      <c r="AP582" s="187" t="s">
        <v>25</v>
      </c>
      <c r="AQ582" s="187">
        <f>Limits!$K$9</f>
        <v>200</v>
      </c>
      <c r="AR582" s="124">
        <v>1200</v>
      </c>
      <c r="AS582" s="187"/>
      <c r="AT582" s="124"/>
      <c r="AV582"/>
      <c r="AX582" s="10"/>
      <c r="AY582" s="11"/>
      <c r="AZ582" s="2"/>
      <c r="BC582"/>
    </row>
    <row r="583" spans="1:55" hidden="1" x14ac:dyDescent="0.25">
      <c r="A583" s="12" t="str">
        <f ca="1">IF(F583+G583+H583+I583+J583+D583+E583=3,IF(Tabelle2[[#This Row],[Kappe Weiß]]=Limits!$R$29,1,""),"")</f>
        <v/>
      </c>
      <c r="B583" s="12" t="str">
        <f ca="1">IF(G583+H583+I583+J583+E583+F583=2,IF(Tabelle2[[#This Row],[Kappe Weiß]]=Limits!$R$29,1,""),"")</f>
        <v/>
      </c>
      <c r="C583" s="291">
        <v>0</v>
      </c>
      <c r="D583" s="171">
        <f>IF(Limits!$P$6=TRUE,1,0)</f>
        <v>0</v>
      </c>
      <c r="E583" s="172">
        <f>IF(Daten!$P583+Daten!$Q583+Daten!$S583=3,1,0)</f>
        <v>0</v>
      </c>
      <c r="F583" s="173">
        <f ca="1">IF(AND(Limits!$Q$21=TRUE,Daten!O583=1)=TRUE,1,0)</f>
        <v>0</v>
      </c>
      <c r="G583" s="174">
        <f>IF(AND(Limits!$Q$25=TRUE,Daten!N583=1)=TRUE,1,0)</f>
        <v>0</v>
      </c>
      <c r="H583" s="174">
        <f>IF(AND(Limits!$Q$24=TRUE,Daten!M583=1)=TRUE,1,0)</f>
        <v>0</v>
      </c>
      <c r="I583" s="174">
        <f>IF(AND(Limits!$Q$23=TRUE,Daten!L583=1)=TRUE,1,0)</f>
        <v>0</v>
      </c>
      <c r="J583" s="174">
        <f>IF(AND(Limits!$Q$22=TRUE,Daten!K583=1)=TRUE,1,0)</f>
        <v>0</v>
      </c>
      <c r="K583" s="188">
        <f>IF(Daten!$V583=13,1,0)</f>
        <v>0</v>
      </c>
      <c r="L583" s="189">
        <f>IF(Daten!$V583&lt;&gt;Daten!$W583,1,IF(Daten!$V583=14,1,0))</f>
        <v>0</v>
      </c>
      <c r="M583" s="189">
        <f>IF(Daten!$V583&lt;&gt;Daten!$W583,1,IF(Daten!$V583=16,1,0))</f>
        <v>0</v>
      </c>
      <c r="N583" s="189">
        <f>IF(Daten!$W583=17,1,0)</f>
        <v>1</v>
      </c>
      <c r="O583" s="190">
        <f ca="1">IF(Daten!$X583=Sprache!$A$70,1,0)</f>
        <v>0</v>
      </c>
      <c r="P583" s="191">
        <f>IF(AND(Daten!$AQ583&lt;=KINVARO!$AW$3,Daten!$AR583&gt;=KINVARO!$AW$3)=TRUE,1,0)</f>
        <v>1</v>
      </c>
      <c r="Q583" s="192">
        <f>IF(AND(Daten!$AA583&lt;=KINVARO!$AW$4,Daten!$AB583&gt;=KINVARO!$AW$4)=TRUE,1,0)</f>
        <v>0</v>
      </c>
      <c r="R583" s="192"/>
      <c r="S583" s="192">
        <f>IF(AND(Daten!$AD583&lt;=Limits!$I$70,Daten!$AE583&gt;=Limits!$I$70)=TRUE,1,0)</f>
        <v>0</v>
      </c>
      <c r="T583" s="193">
        <f ca="1">IF(Daten!$Y583=Sprache!$A$135,1,0)</f>
        <v>0</v>
      </c>
      <c r="U583" s="124" t="str">
        <f ca="1">Sprache!$A$68</f>
        <v>T-65 Поворотный подъемник</v>
      </c>
      <c r="V583" s="194">
        <v>17</v>
      </c>
      <c r="W583" s="193">
        <v>17</v>
      </c>
      <c r="X583" s="187" t="str">
        <f ca="1">Sprache!$A$141</f>
        <v>Alu</v>
      </c>
      <c r="Y583" s="187" t="str">
        <f ca="1">Sprache!$A$136</f>
        <v>nein</v>
      </c>
      <c r="Z583" s="187" t="str">
        <f ca="1">Sprache!$A$79</f>
        <v>Створка</v>
      </c>
      <c r="AA583" s="187">
        <v>500</v>
      </c>
      <c r="AB583" s="124">
        <v>549</v>
      </c>
      <c r="AC583" s="187"/>
      <c r="AD583" s="195">
        <v>1.3</v>
      </c>
      <c r="AE583" s="196">
        <v>3.9</v>
      </c>
      <c r="AF583" s="263" t="str">
        <f>MID(Tabelle2[[#This Row],[bnr full]],1,4)</f>
        <v>F151</v>
      </c>
      <c r="AG583" s="264" t="str">
        <f>MID(Tabelle2[[#This Row],[bnr full]],5,3)</f>
        <v>147</v>
      </c>
      <c r="AH583" s="265" t="str">
        <f>MID(Tabelle2[[#This Row],[bnr full]],8,3)</f>
        <v>681</v>
      </c>
      <c r="AI583" s="264" t="str">
        <f>MID(Tabelle2[[#This Row],[bnr full]],11,3)</f>
        <v>201</v>
      </c>
      <c r="AJ583" s="252" t="str">
        <f>MID(Tabelle2[[#This Row],[bnr full]],11,3)</f>
        <v>201</v>
      </c>
      <c r="AK583" s="197" t="s">
        <v>808</v>
      </c>
      <c r="AL583" s="124" t="str">
        <f ca="1">Sprache!$A$111</f>
        <v>Комплект (Л + П)</v>
      </c>
      <c r="AM583" s="187" t="s">
        <v>25</v>
      </c>
      <c r="AN583" s="187" t="str">
        <f ca="1">Sprache!$A$131</f>
        <v>Пружина, черная, двусторонняя</v>
      </c>
      <c r="AO583" s="187" t="s">
        <v>25</v>
      </c>
      <c r="AP583" s="187" t="s">
        <v>25</v>
      </c>
      <c r="AQ583" s="187">
        <f>Limits!$K$9</f>
        <v>200</v>
      </c>
      <c r="AR583" s="124">
        <v>1200</v>
      </c>
      <c r="AS583" s="187"/>
      <c r="AT583" s="124"/>
      <c r="AV583"/>
      <c r="AX583" s="10"/>
      <c r="AY583" s="11"/>
      <c r="AZ583" s="2"/>
      <c r="BC583"/>
    </row>
    <row r="584" spans="1:55" hidden="1" x14ac:dyDescent="0.25">
      <c r="A584" s="12" t="str">
        <f ca="1">IF(F584+G584+H584+I584+J584+D584+E584=3,IF(Tabelle2[[#This Row],[Kappe Weiß]]=Limits!$R$29,1,""),"")</f>
        <v/>
      </c>
      <c r="B584" s="12" t="str">
        <f ca="1">IF(G584+H584+I584+J584+E584+F584=2,IF(Tabelle2[[#This Row],[Kappe Weiß]]=Limits!$R$29,1,""),"")</f>
        <v/>
      </c>
      <c r="C584" s="292">
        <v>0</v>
      </c>
      <c r="D584" s="171">
        <f>IF(Limits!$P$6=TRUE,1,0)</f>
        <v>0</v>
      </c>
      <c r="E584" s="172">
        <f>IF(Daten!$P584+Daten!$Q584+Daten!$S584=3,1,0)</f>
        <v>0</v>
      </c>
      <c r="F584" s="173">
        <f ca="1">IF(AND(Limits!$Q$21=TRUE,Daten!O584=1)=TRUE,1,0)</f>
        <v>1</v>
      </c>
      <c r="G584" s="174">
        <f ca="1">IF(AND(Limits!$Q$25=TRUE,Daten!N584=1)=TRUE,1,0)</f>
        <v>0</v>
      </c>
      <c r="H584" s="174">
        <f ca="1">IF(AND(Limits!$Q$24=TRUE,Daten!M584=1)=TRUE,1,0)</f>
        <v>0</v>
      </c>
      <c r="I584" s="174">
        <f ca="1">IF(AND(Limits!$Q$23=TRUE,Daten!L584=1)=TRUE,1,0)</f>
        <v>0</v>
      </c>
      <c r="J584" s="174">
        <f ca="1">IF(AND(Limits!$Q$22=TRUE,Daten!K584=1)=TRUE,1,0)</f>
        <v>0</v>
      </c>
      <c r="K584" s="188">
        <f ca="1">IF(Daten!$V584=13,1,0)</f>
        <v>0</v>
      </c>
      <c r="L584" s="189">
        <f ca="1">IF(Daten!$V584&lt;&gt;Daten!$W584,1,IF(Daten!$V584=14,1,0))</f>
        <v>0</v>
      </c>
      <c r="M584" s="189">
        <f ca="1">IF(Daten!$V584&lt;&gt;Daten!$W584,1,IF(Daten!$V584=16,1,0))</f>
        <v>0</v>
      </c>
      <c r="N584" s="189">
        <f ca="1">IF(Daten!$W584=17,1,0)</f>
        <v>0</v>
      </c>
      <c r="O584" s="190">
        <f ca="1">IF(Daten!$X584=Sprache!$A$70,1,0)</f>
        <v>1</v>
      </c>
      <c r="P584" s="198">
        <f>IF(AND(Daten!$AQ584&lt;=KINVARO!$AW$3,Daten!$AR584&gt;=KINVARO!$AW$3)=TRUE,1,0)</f>
        <v>1</v>
      </c>
      <c r="Q584" s="199">
        <f>IF(AND(Daten!$AA584&lt;=KINVARO!$AW$4,Daten!$AB584&gt;=KINVARO!$AW$4)=TRUE,1,0)</f>
        <v>0</v>
      </c>
      <c r="R584" s="199"/>
      <c r="S584" s="199">
        <f>IF(AND(Daten!$AD584&lt;=Limits!$I$70,Daten!$AE584&gt;=Limits!$I$70)=TRUE,1,0)</f>
        <v>0</v>
      </c>
      <c r="T584" s="200">
        <f ca="1">IF(Daten!$Y584=Sprache!$A$135,1,0)</f>
        <v>0</v>
      </c>
      <c r="U584" s="201" t="str">
        <f ca="1">Sprache!$A$68</f>
        <v>T-65 Поворотный подъемник</v>
      </c>
      <c r="V584" s="202" t="str">
        <f ca="1">Sprache!$A$74</f>
        <v>var</v>
      </c>
      <c r="W584" s="200" t="str">
        <f ca="1">Sprache!$A$74</f>
        <v>var</v>
      </c>
      <c r="X584" s="203" t="str">
        <f ca="1">Sprache!$A$70</f>
        <v>соединение с древесиной</v>
      </c>
      <c r="Y584" s="187" t="str">
        <f ca="1">Sprache!$A$136</f>
        <v>nein</v>
      </c>
      <c r="Z584" s="203" t="str">
        <f ca="1">Sprache!$A$79</f>
        <v>Створка</v>
      </c>
      <c r="AA584" s="203">
        <v>550</v>
      </c>
      <c r="AB584" s="201">
        <v>599</v>
      </c>
      <c r="AC584" s="203"/>
      <c r="AD584" s="204">
        <v>1.3</v>
      </c>
      <c r="AE584" s="205">
        <v>3.4</v>
      </c>
      <c r="AF584" s="266" t="str">
        <f>MID(Tabelle2[[#This Row],[bnr full]],1,4)</f>
        <v>F151</v>
      </c>
      <c r="AG584" s="267" t="str">
        <f>MID(Tabelle2[[#This Row],[bnr full]],5,3)</f>
        <v>147</v>
      </c>
      <c r="AH584" s="268" t="str">
        <f>MID(Tabelle2[[#This Row],[bnr full]],8,3)</f>
        <v>682</v>
      </c>
      <c r="AI584" s="267" t="str">
        <f>MID(Tabelle2[[#This Row],[bnr full]],11,3)</f>
        <v>201</v>
      </c>
      <c r="AJ584" s="253" t="str">
        <f>MID(Tabelle2[[#This Row],[bnr full]],11,3)</f>
        <v>201</v>
      </c>
      <c r="AK584" s="206" t="s">
        <v>804</v>
      </c>
      <c r="AL584" s="201" t="str">
        <f ca="1">Sprache!$A$111</f>
        <v>Комплект (Л + П)</v>
      </c>
      <c r="AM584" s="203" t="s">
        <v>25</v>
      </c>
      <c r="AN584" s="203" t="str">
        <f ca="1">Sprache!$A$131</f>
        <v>Пружина, черная, двусторонняя</v>
      </c>
      <c r="AO584" s="187" t="s">
        <v>25</v>
      </c>
      <c r="AP584" s="187" t="s">
        <v>25</v>
      </c>
      <c r="AQ584" s="203">
        <f>Limits!$K$9</f>
        <v>200</v>
      </c>
      <c r="AR584" s="201">
        <v>1200</v>
      </c>
      <c r="AS584" s="187"/>
      <c r="AT584" s="124"/>
      <c r="AV584"/>
      <c r="AX584" s="10"/>
      <c r="AY584" s="11"/>
      <c r="AZ584" s="2"/>
      <c r="BC584"/>
    </row>
    <row r="585" spans="1:55" hidden="1" x14ac:dyDescent="0.25">
      <c r="A585" s="12" t="str">
        <f ca="1">IF(F585+G585+H585+I585+J585+D585+E585=3,IF(Tabelle2[[#This Row],[Kappe Weiß]]=Limits!$R$29,1,""),"")</f>
        <v/>
      </c>
      <c r="B585" s="12" t="str">
        <f ca="1">IF(G585+H585+I585+J585+E585+F585=2,IF(Tabelle2[[#This Row],[Kappe Weiß]]=Limits!$R$29,1,""),"")</f>
        <v/>
      </c>
      <c r="C585" s="291">
        <v>0</v>
      </c>
      <c r="D585" s="171">
        <f>IF(Limits!$P$6=TRUE,1,0)</f>
        <v>0</v>
      </c>
      <c r="E585" s="172">
        <f>IF(Daten!$P585+Daten!$Q585+Daten!$S585=3,1,0)</f>
        <v>0</v>
      </c>
      <c r="F585" s="173">
        <f ca="1">IF(AND(Limits!$Q$21=TRUE,Daten!O585=1)=TRUE,1,0)</f>
        <v>0</v>
      </c>
      <c r="G585" s="174">
        <f>IF(AND(Limits!$Q$25=TRUE,Daten!N585=1)=TRUE,1,0)</f>
        <v>0</v>
      </c>
      <c r="H585" s="174">
        <f>IF(AND(Limits!$Q$24=TRUE,Daten!M585=1)=TRUE,1,0)</f>
        <v>0</v>
      </c>
      <c r="I585" s="174">
        <f>IF(AND(Limits!$Q$23=TRUE,Daten!L585=1)=TRUE,1,0)</f>
        <v>0</v>
      </c>
      <c r="J585" s="174">
        <f>IF(AND(Limits!$Q$22=TRUE,Daten!K585=1)=TRUE,1,0)</f>
        <v>0</v>
      </c>
      <c r="K585" s="188">
        <f>IF(Daten!$V585=13,1,0)</f>
        <v>1</v>
      </c>
      <c r="L585" s="189">
        <f>IF(Daten!$V585&lt;&gt;Daten!$W585,1,IF(Daten!$V585=14,1,0))</f>
        <v>0</v>
      </c>
      <c r="M585" s="189">
        <f>IF(Daten!$V585&lt;&gt;Daten!$W585,1,IF(Daten!$V585=16,1,0))</f>
        <v>0</v>
      </c>
      <c r="N585" s="189">
        <f>IF(Daten!$W585=17,1,0)</f>
        <v>0</v>
      </c>
      <c r="O585" s="190">
        <f ca="1">IF(Daten!$X585=Sprache!$A$70,1,0)</f>
        <v>0</v>
      </c>
      <c r="P585" s="191">
        <f>IF(AND(Daten!$AQ585&lt;=KINVARO!$AW$3,Daten!$AR585&gt;=KINVARO!$AW$3)=TRUE,1,0)</f>
        <v>1</v>
      </c>
      <c r="Q585" s="192">
        <f>IF(AND(Daten!$AA585&lt;=KINVARO!$AW$4,Daten!$AB585&gt;=KINVARO!$AW$4)=TRUE,1,0)</f>
        <v>0</v>
      </c>
      <c r="R585" s="192"/>
      <c r="S585" s="192">
        <f>IF(AND(Daten!$AD585&lt;=Limits!$I$70,Daten!$AE585&gt;=Limits!$I$70)=TRUE,1,0)</f>
        <v>0</v>
      </c>
      <c r="T585" s="193">
        <f ca="1">IF(Daten!$Y585=Sprache!$A$135,1,0)</f>
        <v>0</v>
      </c>
      <c r="U585" s="124" t="str">
        <f ca="1">Sprache!$A$68</f>
        <v>T-65 Поворотный подъемник</v>
      </c>
      <c r="V585" s="194">
        <v>13</v>
      </c>
      <c r="W585" s="193">
        <v>13</v>
      </c>
      <c r="X585" s="187" t="str">
        <f ca="1">Sprache!$A$141</f>
        <v>Alu</v>
      </c>
      <c r="Y585" s="187" t="str">
        <f ca="1">Sprache!$A$136</f>
        <v>nein</v>
      </c>
      <c r="Z585" s="187" t="str">
        <f ca="1">Sprache!$A$79</f>
        <v>Створка</v>
      </c>
      <c r="AA585" s="187">
        <v>550</v>
      </c>
      <c r="AB585" s="124">
        <v>599</v>
      </c>
      <c r="AC585" s="187"/>
      <c r="AD585" s="195">
        <v>1.3</v>
      </c>
      <c r="AE585" s="196">
        <v>3.4</v>
      </c>
      <c r="AF585" s="263" t="str">
        <f>MID(Tabelle2[[#This Row],[bnr full]],1,4)</f>
        <v>F151</v>
      </c>
      <c r="AG585" s="264" t="str">
        <f>MID(Tabelle2[[#This Row],[bnr full]],5,3)</f>
        <v>147</v>
      </c>
      <c r="AH585" s="265" t="str">
        <f>MID(Tabelle2[[#This Row],[bnr full]],8,3)</f>
        <v>678</v>
      </c>
      <c r="AI585" s="264" t="str">
        <f>MID(Tabelle2[[#This Row],[bnr full]],11,3)</f>
        <v>201</v>
      </c>
      <c r="AJ585" s="252" t="str">
        <f>MID(Tabelle2[[#This Row],[bnr full]],11,3)</f>
        <v>201</v>
      </c>
      <c r="AK585" s="197" t="s">
        <v>805</v>
      </c>
      <c r="AL585" s="124" t="str">
        <f ca="1">Sprache!$A$111</f>
        <v>Комплект (Л + П)</v>
      </c>
      <c r="AM585" s="187" t="s">
        <v>25</v>
      </c>
      <c r="AN585" s="187" t="str">
        <f ca="1">Sprache!$A$131</f>
        <v>Пружина, черная, двусторонняя</v>
      </c>
      <c r="AO585" s="187" t="s">
        <v>25</v>
      </c>
      <c r="AP585" s="187" t="s">
        <v>25</v>
      </c>
      <c r="AQ585" s="187">
        <f>Limits!$K$9</f>
        <v>200</v>
      </c>
      <c r="AR585" s="124">
        <v>1200</v>
      </c>
      <c r="AS585" s="187"/>
      <c r="AT585" s="124"/>
      <c r="AV585"/>
      <c r="AX585" s="10"/>
      <c r="AY585" s="11"/>
      <c r="AZ585" s="2"/>
      <c r="BC585"/>
    </row>
    <row r="586" spans="1:55" hidden="1" x14ac:dyDescent="0.25">
      <c r="A586" s="12" t="str">
        <f ca="1">IF(F586+G586+H586+I586+J586+D586+E586=3,IF(Tabelle2[[#This Row],[Kappe Weiß]]=Limits!$R$29,1,""),"")</f>
        <v/>
      </c>
      <c r="B586" s="12" t="str">
        <f ca="1">IF(G586+H586+I586+J586+E586+F586=2,IF(Tabelle2[[#This Row],[Kappe Weiß]]=Limits!$R$29,1,""),"")</f>
        <v/>
      </c>
      <c r="C586" s="291">
        <v>0</v>
      </c>
      <c r="D586" s="171">
        <f>IF(Limits!$P$6=TRUE,1,0)</f>
        <v>0</v>
      </c>
      <c r="E586" s="172">
        <f>IF(Daten!$P586+Daten!$Q586+Daten!$S586=3,1,0)</f>
        <v>0</v>
      </c>
      <c r="F586" s="173">
        <f ca="1">IF(AND(Limits!$Q$21=TRUE,Daten!O586=1)=TRUE,1,0)</f>
        <v>0</v>
      </c>
      <c r="G586" s="174">
        <f>IF(AND(Limits!$Q$25=TRUE,Daten!N586=1)=TRUE,1,0)</f>
        <v>0</v>
      </c>
      <c r="H586" s="174">
        <f>IF(AND(Limits!$Q$24=TRUE,Daten!M586=1)=TRUE,1,0)</f>
        <v>0</v>
      </c>
      <c r="I586" s="174">
        <f>IF(AND(Limits!$Q$23=TRUE,Daten!L586=1)=TRUE,1,0)</f>
        <v>0</v>
      </c>
      <c r="J586" s="174">
        <f>IF(AND(Limits!$Q$22=TRUE,Daten!K586=1)=TRUE,1,0)</f>
        <v>0</v>
      </c>
      <c r="K586" s="188">
        <f>IF(Daten!$V586=13,1,0)</f>
        <v>0</v>
      </c>
      <c r="L586" s="189">
        <f>IF(Daten!$V586&lt;&gt;Daten!$W586,1,IF(Daten!$V586=14,1,0))</f>
        <v>1</v>
      </c>
      <c r="M586" s="189">
        <f>IF(Daten!$V586&lt;&gt;Daten!$W586,1,IF(Daten!$V586=16,1,0))</f>
        <v>0</v>
      </c>
      <c r="N586" s="189">
        <f>IF(Daten!$W586=17,1,0)</f>
        <v>0</v>
      </c>
      <c r="O586" s="190">
        <f ca="1">IF(Daten!$X586=Sprache!$A$70,1,0)</f>
        <v>0</v>
      </c>
      <c r="P586" s="191">
        <f>IF(AND(Daten!$AQ586&lt;=KINVARO!$AW$3,Daten!$AR586&gt;=KINVARO!$AW$3)=TRUE,1,0)</f>
        <v>1</v>
      </c>
      <c r="Q586" s="192">
        <f>IF(AND(Daten!$AA586&lt;=KINVARO!$AW$4,Daten!$AB586&gt;=KINVARO!$AW$4)=TRUE,1,0)</f>
        <v>0</v>
      </c>
      <c r="R586" s="192"/>
      <c r="S586" s="192">
        <f>IF(AND(Daten!$AD586&lt;=Limits!$I$70,Daten!$AE586&gt;=Limits!$I$70)=TRUE,1,0)</f>
        <v>0</v>
      </c>
      <c r="T586" s="193">
        <f ca="1">IF(Daten!$Y586=Sprache!$A$135,1,0)</f>
        <v>0</v>
      </c>
      <c r="U586" s="124" t="str">
        <f ca="1">Sprache!$A$68</f>
        <v>T-65 Поворотный подъемник</v>
      </c>
      <c r="V586" s="194">
        <v>14</v>
      </c>
      <c r="W586" s="193">
        <v>14</v>
      </c>
      <c r="X586" s="187" t="str">
        <f ca="1">Sprache!$A$141</f>
        <v>Alu</v>
      </c>
      <c r="Y586" s="187" t="str">
        <f ca="1">Sprache!$A$136</f>
        <v>nein</v>
      </c>
      <c r="Z586" s="187" t="str">
        <f ca="1">Sprache!$A$79</f>
        <v>Створка</v>
      </c>
      <c r="AA586" s="187">
        <v>550</v>
      </c>
      <c r="AB586" s="124">
        <v>599</v>
      </c>
      <c r="AC586" s="187"/>
      <c r="AD586" s="195">
        <v>1.3</v>
      </c>
      <c r="AE586" s="196">
        <v>3.4</v>
      </c>
      <c r="AF586" s="263" t="str">
        <f>MID(Tabelle2[[#This Row],[bnr full]],1,4)</f>
        <v>F151</v>
      </c>
      <c r="AG586" s="264" t="str">
        <f>MID(Tabelle2[[#This Row],[bnr full]],5,3)</f>
        <v>147</v>
      </c>
      <c r="AH586" s="265" t="str">
        <f>MID(Tabelle2[[#This Row],[bnr full]],8,3)</f>
        <v>679</v>
      </c>
      <c r="AI586" s="264" t="str">
        <f>MID(Tabelle2[[#This Row],[bnr full]],11,3)</f>
        <v>201</v>
      </c>
      <c r="AJ586" s="252" t="str">
        <f>MID(Tabelle2[[#This Row],[bnr full]],11,3)</f>
        <v>201</v>
      </c>
      <c r="AK586" s="197" t="s">
        <v>806</v>
      </c>
      <c r="AL586" s="124" t="str">
        <f ca="1">Sprache!$A$111</f>
        <v>Комплект (Л + П)</v>
      </c>
      <c r="AM586" s="187" t="s">
        <v>25</v>
      </c>
      <c r="AN586" s="187" t="str">
        <f ca="1">Sprache!$A$131</f>
        <v>Пружина, черная, двусторонняя</v>
      </c>
      <c r="AO586" s="187" t="s">
        <v>25</v>
      </c>
      <c r="AP586" s="187" t="s">
        <v>25</v>
      </c>
      <c r="AQ586" s="187">
        <f>Limits!$K$9</f>
        <v>200</v>
      </c>
      <c r="AR586" s="124">
        <v>1200</v>
      </c>
      <c r="AS586" s="187"/>
      <c r="AT586" s="124"/>
      <c r="AV586"/>
      <c r="AX586" s="10"/>
      <c r="AY586" s="11"/>
      <c r="AZ586" s="2"/>
      <c r="BC586"/>
    </row>
    <row r="587" spans="1:55" hidden="1" x14ac:dyDescent="0.25">
      <c r="A587" s="12" t="str">
        <f ca="1">IF(F587+G587+H587+I587+J587+D587+E587=3,IF(Tabelle2[[#This Row],[Kappe Weiß]]=Limits!$R$29,1,""),"")</f>
        <v/>
      </c>
      <c r="B587" s="12" t="str">
        <f ca="1">IF(G587+H587+I587+J587+E587+F587=2,IF(Tabelle2[[#This Row],[Kappe Weiß]]=Limits!$R$29,1,""),"")</f>
        <v/>
      </c>
      <c r="C587" s="291">
        <v>0</v>
      </c>
      <c r="D587" s="171">
        <f>IF(Limits!$P$6=TRUE,1,0)</f>
        <v>0</v>
      </c>
      <c r="E587" s="172">
        <f>IF(Daten!$P587+Daten!$Q587+Daten!$S587=3,1,0)</f>
        <v>0</v>
      </c>
      <c r="F587" s="173">
        <f ca="1">IF(AND(Limits!$Q$21=TRUE,Daten!O587=1)=TRUE,1,0)</f>
        <v>0</v>
      </c>
      <c r="G587" s="174">
        <f>IF(AND(Limits!$Q$25=TRUE,Daten!N587=1)=TRUE,1,0)</f>
        <v>0</v>
      </c>
      <c r="H587" s="174">
        <f>IF(AND(Limits!$Q$24=TRUE,Daten!M587=1)=TRUE,1,0)</f>
        <v>0</v>
      </c>
      <c r="I587" s="174">
        <f>IF(AND(Limits!$Q$23=TRUE,Daten!L587=1)=TRUE,1,0)</f>
        <v>0</v>
      </c>
      <c r="J587" s="174">
        <f>IF(AND(Limits!$Q$22=TRUE,Daten!K587=1)=TRUE,1,0)</f>
        <v>0</v>
      </c>
      <c r="K587" s="188">
        <f>IF(Daten!$V587=13,1,0)</f>
        <v>0</v>
      </c>
      <c r="L587" s="189">
        <f>IF(Daten!$V587&lt;&gt;Daten!$W587,1,IF(Daten!$V587=14,1,0))</f>
        <v>0</v>
      </c>
      <c r="M587" s="189">
        <f>IF(Daten!$V587&lt;&gt;Daten!$W587,1,IF(Daten!$V587=16,1,0))</f>
        <v>1</v>
      </c>
      <c r="N587" s="189">
        <f>IF(Daten!$W587=17,1,0)</f>
        <v>0</v>
      </c>
      <c r="O587" s="190">
        <f ca="1">IF(Daten!$X587=Sprache!$A$70,1,0)</f>
        <v>0</v>
      </c>
      <c r="P587" s="191">
        <f>IF(AND(Daten!$AQ587&lt;=KINVARO!$AW$3,Daten!$AR587&gt;=KINVARO!$AW$3)=TRUE,1,0)</f>
        <v>1</v>
      </c>
      <c r="Q587" s="192">
        <f>IF(AND(Daten!$AA587&lt;=KINVARO!$AW$4,Daten!$AB587&gt;=KINVARO!$AW$4)=TRUE,1,0)</f>
        <v>0</v>
      </c>
      <c r="R587" s="192"/>
      <c r="S587" s="192">
        <f>IF(AND(Daten!$AD587&lt;=Limits!$I$70,Daten!$AE587&gt;=Limits!$I$70)=TRUE,1,0)</f>
        <v>0</v>
      </c>
      <c r="T587" s="193">
        <f ca="1">IF(Daten!$Y587=Sprache!$A$135,1,0)</f>
        <v>0</v>
      </c>
      <c r="U587" s="124" t="str">
        <f ca="1">Sprache!$A$68</f>
        <v>T-65 Поворотный подъемник</v>
      </c>
      <c r="V587" s="194">
        <v>16</v>
      </c>
      <c r="W587" s="193">
        <v>16</v>
      </c>
      <c r="X587" s="187" t="str">
        <f ca="1">Sprache!$A$141</f>
        <v>Alu</v>
      </c>
      <c r="Y587" s="187" t="str">
        <f ca="1">Sprache!$A$136</f>
        <v>nein</v>
      </c>
      <c r="Z587" s="187" t="str">
        <f ca="1">Sprache!$A$79</f>
        <v>Створка</v>
      </c>
      <c r="AA587" s="187">
        <v>550</v>
      </c>
      <c r="AB587" s="124">
        <v>599</v>
      </c>
      <c r="AC587" s="187"/>
      <c r="AD587" s="195">
        <v>1.3</v>
      </c>
      <c r="AE587" s="196">
        <v>3.4</v>
      </c>
      <c r="AF587" s="263" t="str">
        <f>MID(Tabelle2[[#This Row],[bnr full]],1,4)</f>
        <v>F151</v>
      </c>
      <c r="AG587" s="264" t="str">
        <f>MID(Tabelle2[[#This Row],[bnr full]],5,3)</f>
        <v>147</v>
      </c>
      <c r="AH587" s="265" t="str">
        <f>MID(Tabelle2[[#This Row],[bnr full]],8,3)</f>
        <v>680</v>
      </c>
      <c r="AI587" s="264" t="str">
        <f>MID(Tabelle2[[#This Row],[bnr full]],11,3)</f>
        <v>201</v>
      </c>
      <c r="AJ587" s="252" t="str">
        <f>MID(Tabelle2[[#This Row],[bnr full]],11,3)</f>
        <v>201</v>
      </c>
      <c r="AK587" s="197" t="s">
        <v>807</v>
      </c>
      <c r="AL587" s="124" t="str">
        <f ca="1">Sprache!$A$111</f>
        <v>Комплект (Л + П)</v>
      </c>
      <c r="AM587" s="187" t="s">
        <v>25</v>
      </c>
      <c r="AN587" s="187" t="str">
        <f ca="1">Sprache!$A$131</f>
        <v>Пружина, черная, двусторонняя</v>
      </c>
      <c r="AO587" s="187" t="s">
        <v>25</v>
      </c>
      <c r="AP587" s="187" t="s">
        <v>25</v>
      </c>
      <c r="AQ587" s="187">
        <f>Limits!$K$9</f>
        <v>200</v>
      </c>
      <c r="AR587" s="124">
        <v>1200</v>
      </c>
      <c r="AS587" s="187"/>
      <c r="AT587" s="124"/>
      <c r="AV587"/>
      <c r="AX587" s="10"/>
      <c r="AY587" s="11"/>
      <c r="AZ587" s="2"/>
      <c r="BC587"/>
    </row>
    <row r="588" spans="1:55" hidden="1" x14ac:dyDescent="0.25">
      <c r="A588" s="12" t="str">
        <f ca="1">IF(F588+G588+H588+I588+J588+D588+E588=3,IF(Tabelle2[[#This Row],[Kappe Weiß]]=Limits!$R$29,1,""),"")</f>
        <v/>
      </c>
      <c r="B588" s="12" t="str">
        <f ca="1">IF(G588+H588+I588+J588+E588+F588=2,IF(Tabelle2[[#This Row],[Kappe Weiß]]=Limits!$R$29,1,""),"")</f>
        <v/>
      </c>
      <c r="C588" s="291">
        <v>0</v>
      </c>
      <c r="D588" s="171">
        <f>IF(Limits!$P$6=TRUE,1,0)</f>
        <v>0</v>
      </c>
      <c r="E588" s="172">
        <f>IF(Daten!$P588+Daten!$Q588+Daten!$S588=3,1,0)</f>
        <v>0</v>
      </c>
      <c r="F588" s="173">
        <f ca="1">IF(AND(Limits!$Q$21=TRUE,Daten!O588=1)=TRUE,1,0)</f>
        <v>0</v>
      </c>
      <c r="G588" s="174">
        <f>IF(AND(Limits!$Q$25=TRUE,Daten!N588=1)=TRUE,1,0)</f>
        <v>0</v>
      </c>
      <c r="H588" s="174">
        <f>IF(AND(Limits!$Q$24=TRUE,Daten!M588=1)=TRUE,1,0)</f>
        <v>0</v>
      </c>
      <c r="I588" s="174">
        <f>IF(AND(Limits!$Q$23=TRUE,Daten!L588=1)=TRUE,1,0)</f>
        <v>0</v>
      </c>
      <c r="J588" s="174">
        <f>IF(AND(Limits!$Q$22=TRUE,Daten!K588=1)=TRUE,1,0)</f>
        <v>0</v>
      </c>
      <c r="K588" s="188">
        <f>IF(Daten!$V588=13,1,0)</f>
        <v>0</v>
      </c>
      <c r="L588" s="189">
        <f>IF(Daten!$V588&lt;&gt;Daten!$W588,1,IF(Daten!$V588=14,1,0))</f>
        <v>0</v>
      </c>
      <c r="M588" s="189">
        <f>IF(Daten!$V588&lt;&gt;Daten!$W588,1,IF(Daten!$V588=16,1,0))</f>
        <v>0</v>
      </c>
      <c r="N588" s="189">
        <f>IF(Daten!$W588=17,1,0)</f>
        <v>1</v>
      </c>
      <c r="O588" s="190">
        <f ca="1">IF(Daten!$X588=Sprache!$A$70,1,0)</f>
        <v>0</v>
      </c>
      <c r="P588" s="191">
        <f>IF(AND(Daten!$AQ588&lt;=KINVARO!$AW$3,Daten!$AR588&gt;=KINVARO!$AW$3)=TRUE,1,0)</f>
        <v>1</v>
      </c>
      <c r="Q588" s="192">
        <f>IF(AND(Daten!$AA588&lt;=KINVARO!$AW$4,Daten!$AB588&gt;=KINVARO!$AW$4)=TRUE,1,0)</f>
        <v>0</v>
      </c>
      <c r="R588" s="192"/>
      <c r="S588" s="192">
        <f>IF(AND(Daten!$AD588&lt;=Limits!$I$70,Daten!$AE588&gt;=Limits!$I$70)=TRUE,1,0)</f>
        <v>0</v>
      </c>
      <c r="T588" s="193">
        <f ca="1">IF(Daten!$Y588=Sprache!$A$135,1,0)</f>
        <v>0</v>
      </c>
      <c r="U588" s="124" t="str">
        <f ca="1">Sprache!$A$68</f>
        <v>T-65 Поворотный подъемник</v>
      </c>
      <c r="V588" s="194">
        <v>17</v>
      </c>
      <c r="W588" s="193">
        <v>17</v>
      </c>
      <c r="X588" s="187" t="str">
        <f ca="1">Sprache!$A$141</f>
        <v>Alu</v>
      </c>
      <c r="Y588" s="187" t="str">
        <f ca="1">Sprache!$A$136</f>
        <v>nein</v>
      </c>
      <c r="Z588" s="187" t="str">
        <f ca="1">Sprache!$A$79</f>
        <v>Створка</v>
      </c>
      <c r="AA588" s="187">
        <v>550</v>
      </c>
      <c r="AB588" s="124">
        <v>599</v>
      </c>
      <c r="AC588" s="187"/>
      <c r="AD588" s="195">
        <v>1.3</v>
      </c>
      <c r="AE588" s="196">
        <v>3.4</v>
      </c>
      <c r="AF588" s="263" t="str">
        <f>MID(Tabelle2[[#This Row],[bnr full]],1,4)</f>
        <v>F151</v>
      </c>
      <c r="AG588" s="264" t="str">
        <f>MID(Tabelle2[[#This Row],[bnr full]],5,3)</f>
        <v>147</v>
      </c>
      <c r="AH588" s="265" t="str">
        <f>MID(Tabelle2[[#This Row],[bnr full]],8,3)</f>
        <v>681</v>
      </c>
      <c r="AI588" s="264" t="str">
        <f>MID(Tabelle2[[#This Row],[bnr full]],11,3)</f>
        <v>201</v>
      </c>
      <c r="AJ588" s="252" t="str">
        <f>MID(Tabelle2[[#This Row],[bnr full]],11,3)</f>
        <v>201</v>
      </c>
      <c r="AK588" s="197" t="s">
        <v>808</v>
      </c>
      <c r="AL588" s="124" t="str">
        <f ca="1">Sprache!$A$111</f>
        <v>Комплект (Л + П)</v>
      </c>
      <c r="AM588" s="187" t="s">
        <v>25</v>
      </c>
      <c r="AN588" s="187" t="str">
        <f ca="1">Sprache!$A$131</f>
        <v>Пружина, черная, двусторонняя</v>
      </c>
      <c r="AO588" s="187" t="s">
        <v>25</v>
      </c>
      <c r="AP588" s="187" t="s">
        <v>25</v>
      </c>
      <c r="AQ588" s="187">
        <f>Limits!$K$9</f>
        <v>200</v>
      </c>
      <c r="AR588" s="124">
        <v>1200</v>
      </c>
      <c r="AS588" s="187"/>
      <c r="AT588" s="124"/>
      <c r="AV588"/>
      <c r="AX588" s="10"/>
      <c r="AY588" s="11"/>
      <c r="AZ588" s="2"/>
      <c r="BC588"/>
    </row>
    <row r="589" spans="1:55" hidden="1" x14ac:dyDescent="0.25">
      <c r="A589" s="12" t="str">
        <f ca="1">IF(F589+G589+H589+I589+J589+D589+E589=3,IF(Tabelle2[[#This Row],[Kappe Weiß]]=Limits!$R$29,1,""),"")</f>
        <v/>
      </c>
      <c r="B589" s="12" t="str">
        <f ca="1">IF(G589+H589+I589+J589+E589+F589=2,IF(Tabelle2[[#This Row],[Kappe Weiß]]=Limits!$R$29,1,""),"")</f>
        <v/>
      </c>
      <c r="C589" s="292">
        <v>0</v>
      </c>
      <c r="D589" s="171">
        <f>IF(Limits!$P$6=TRUE,1,0)</f>
        <v>0</v>
      </c>
      <c r="E589" s="172">
        <f>IF(Daten!$P589+Daten!$Q589+Daten!$S589=3,1,0)</f>
        <v>0</v>
      </c>
      <c r="F589" s="173">
        <f ca="1">IF(AND(Limits!$Q$21=TRUE,Daten!O589=1)=TRUE,1,0)</f>
        <v>1</v>
      </c>
      <c r="G589" s="174">
        <f ca="1">IF(AND(Limits!$Q$25=TRUE,Daten!N589=1)=TRUE,1,0)</f>
        <v>0</v>
      </c>
      <c r="H589" s="174">
        <f ca="1">IF(AND(Limits!$Q$24=TRUE,Daten!M589=1)=TRUE,1,0)</f>
        <v>0</v>
      </c>
      <c r="I589" s="174">
        <f ca="1">IF(AND(Limits!$Q$23=TRUE,Daten!L589=1)=TRUE,1,0)</f>
        <v>0</v>
      </c>
      <c r="J589" s="174">
        <f ca="1">IF(AND(Limits!$Q$22=TRUE,Daten!K589=1)=TRUE,1,0)</f>
        <v>0</v>
      </c>
      <c r="K589" s="188">
        <f ca="1">IF(Daten!$V589=13,1,0)</f>
        <v>0</v>
      </c>
      <c r="L589" s="189">
        <f ca="1">IF(Daten!$V589&lt;&gt;Daten!$W589,1,IF(Daten!$V589=14,1,0))</f>
        <v>0</v>
      </c>
      <c r="M589" s="189">
        <f ca="1">IF(Daten!$V589&lt;&gt;Daten!$W589,1,IF(Daten!$V589=16,1,0))</f>
        <v>0</v>
      </c>
      <c r="N589" s="189">
        <f ca="1">IF(Daten!$W589=17,1,0)</f>
        <v>0</v>
      </c>
      <c r="O589" s="190">
        <f ca="1">IF(Daten!$X589=Sprache!$A$70,1,0)</f>
        <v>1</v>
      </c>
      <c r="P589" s="198">
        <f>IF(AND(Daten!$AQ589&lt;=KINVARO!$AW$3,Daten!$AR589&gt;=KINVARO!$AW$3)=TRUE,1,0)</f>
        <v>1</v>
      </c>
      <c r="Q589" s="199">
        <f>IF(AND(Daten!$AA589&lt;=KINVARO!$AW$4,Daten!$AB589&gt;=KINVARO!$AW$4)=TRUE,1,0)</f>
        <v>0</v>
      </c>
      <c r="R589" s="199"/>
      <c r="S589" s="199">
        <f>IF(AND(Daten!$AD589&lt;=Limits!$I$70,Daten!$AE589&gt;=Limits!$I$70)=TRUE,1,0)</f>
        <v>0</v>
      </c>
      <c r="T589" s="200">
        <f ca="1">IF(Daten!$Y589=Sprache!$A$135,1,0)</f>
        <v>0</v>
      </c>
      <c r="U589" s="201" t="str">
        <f ca="1">Sprache!$A$68</f>
        <v>T-65 Поворотный подъемник</v>
      </c>
      <c r="V589" s="202" t="str">
        <f ca="1">Sprache!$A$74</f>
        <v>var</v>
      </c>
      <c r="W589" s="200" t="str">
        <f ca="1">Sprache!$A$74</f>
        <v>var</v>
      </c>
      <c r="X589" s="203" t="str">
        <f ca="1">Sprache!$A$70</f>
        <v>соединение с древесиной</v>
      </c>
      <c r="Y589" s="187" t="str">
        <f ca="1">Sprache!$A$136</f>
        <v>nein</v>
      </c>
      <c r="Z589" s="203" t="str">
        <f ca="1">Sprache!$A$79</f>
        <v>Створка</v>
      </c>
      <c r="AA589" s="203">
        <v>600</v>
      </c>
      <c r="AB589" s="201">
        <v>600</v>
      </c>
      <c r="AC589" s="203"/>
      <c r="AD589" s="204">
        <v>1.3</v>
      </c>
      <c r="AE589" s="205">
        <v>3.1</v>
      </c>
      <c r="AF589" s="266" t="str">
        <f>MID(Tabelle2[[#This Row],[bnr full]],1,4)</f>
        <v>F151</v>
      </c>
      <c r="AG589" s="267" t="str">
        <f>MID(Tabelle2[[#This Row],[bnr full]],5,3)</f>
        <v>147</v>
      </c>
      <c r="AH589" s="268" t="str">
        <f>MID(Tabelle2[[#This Row],[bnr full]],8,3)</f>
        <v>682</v>
      </c>
      <c r="AI589" s="267" t="str">
        <f>MID(Tabelle2[[#This Row],[bnr full]],11,3)</f>
        <v>201</v>
      </c>
      <c r="AJ589" s="253" t="str">
        <f>MID(Tabelle2[[#This Row],[bnr full]],11,3)</f>
        <v>201</v>
      </c>
      <c r="AK589" s="206" t="s">
        <v>804</v>
      </c>
      <c r="AL589" s="201" t="str">
        <f ca="1">Sprache!$A$111</f>
        <v>Комплект (Л + П)</v>
      </c>
      <c r="AM589" s="203" t="s">
        <v>25</v>
      </c>
      <c r="AN589" s="203" t="str">
        <f ca="1">Sprache!$A$131</f>
        <v>Пружина, черная, двусторонняя</v>
      </c>
      <c r="AO589" s="187" t="s">
        <v>25</v>
      </c>
      <c r="AP589" s="187" t="s">
        <v>25</v>
      </c>
      <c r="AQ589" s="203">
        <f>Limits!$K$9</f>
        <v>200</v>
      </c>
      <c r="AR589" s="201">
        <v>1200</v>
      </c>
      <c r="AS589" s="187"/>
      <c r="AT589" s="124"/>
      <c r="AV589"/>
      <c r="AX589" s="10"/>
      <c r="AY589" s="11"/>
      <c r="AZ589" s="2"/>
      <c r="BC589"/>
    </row>
    <row r="590" spans="1:55" hidden="1" x14ac:dyDescent="0.25">
      <c r="A590" s="12" t="str">
        <f ca="1">IF(F590+G590+H590+I590+J590+D590+E590=3,IF(Tabelle2[[#This Row],[Kappe Weiß]]=Limits!$R$29,1,""),"")</f>
        <v/>
      </c>
      <c r="B590" s="12" t="str">
        <f ca="1">IF(G590+H590+I590+J590+E590+F590=2,IF(Tabelle2[[#This Row],[Kappe Weiß]]=Limits!$R$29,1,""),"")</f>
        <v/>
      </c>
      <c r="C590" s="291">
        <v>0</v>
      </c>
      <c r="D590" s="171">
        <f>IF(Limits!$P$6=TRUE,1,0)</f>
        <v>0</v>
      </c>
      <c r="E590" s="172">
        <f>IF(Daten!$P590+Daten!$Q590+Daten!$S590=3,1,0)</f>
        <v>0</v>
      </c>
      <c r="F590" s="173">
        <f ca="1">IF(AND(Limits!$Q$21=TRUE,Daten!O590=1)=TRUE,1,0)</f>
        <v>0</v>
      </c>
      <c r="G590" s="174">
        <f>IF(AND(Limits!$Q$25=TRUE,Daten!N590=1)=TRUE,1,0)</f>
        <v>0</v>
      </c>
      <c r="H590" s="174">
        <f>IF(AND(Limits!$Q$24=TRUE,Daten!M590=1)=TRUE,1,0)</f>
        <v>0</v>
      </c>
      <c r="I590" s="174">
        <f>IF(AND(Limits!$Q$23=TRUE,Daten!L590=1)=TRUE,1,0)</f>
        <v>0</v>
      </c>
      <c r="J590" s="174">
        <f>IF(AND(Limits!$Q$22=TRUE,Daten!K590=1)=TRUE,1,0)</f>
        <v>0</v>
      </c>
      <c r="K590" s="188">
        <f>IF(Daten!$V590=13,1,0)</f>
        <v>1</v>
      </c>
      <c r="L590" s="189">
        <f>IF(Daten!$V590&lt;&gt;Daten!$W590,1,IF(Daten!$V590=14,1,0))</f>
        <v>0</v>
      </c>
      <c r="M590" s="189">
        <f>IF(Daten!$V590&lt;&gt;Daten!$W590,1,IF(Daten!$V590=16,1,0))</f>
        <v>0</v>
      </c>
      <c r="N590" s="189">
        <f>IF(Daten!$W590=17,1,0)</f>
        <v>0</v>
      </c>
      <c r="O590" s="190">
        <f ca="1">IF(Daten!$X590=Sprache!$A$70,1,0)</f>
        <v>0</v>
      </c>
      <c r="P590" s="191">
        <f>IF(AND(Daten!$AQ590&lt;=KINVARO!$AW$3,Daten!$AR590&gt;=KINVARO!$AW$3)=TRUE,1,0)</f>
        <v>1</v>
      </c>
      <c r="Q590" s="192">
        <f>IF(AND(Daten!$AA590&lt;=KINVARO!$AW$4,Daten!$AB590&gt;=KINVARO!$AW$4)=TRUE,1,0)</f>
        <v>0</v>
      </c>
      <c r="R590" s="192"/>
      <c r="S590" s="192">
        <f>IF(AND(Daten!$AD590&lt;=Limits!$I$70,Daten!$AE590&gt;=Limits!$I$70)=TRUE,1,0)</f>
        <v>0</v>
      </c>
      <c r="T590" s="193">
        <f ca="1">IF(Daten!$Y590=Sprache!$A$135,1,0)</f>
        <v>0</v>
      </c>
      <c r="U590" s="124" t="str">
        <f ca="1">Sprache!$A$68</f>
        <v>T-65 Поворотный подъемник</v>
      </c>
      <c r="V590" s="194">
        <v>13</v>
      </c>
      <c r="W590" s="193">
        <v>13</v>
      </c>
      <c r="X590" s="187" t="str">
        <f ca="1">Sprache!$A$141</f>
        <v>Alu</v>
      </c>
      <c r="Y590" s="187" t="str">
        <f ca="1">Sprache!$A$136</f>
        <v>nein</v>
      </c>
      <c r="Z590" s="187" t="str">
        <f ca="1">Sprache!$A$79</f>
        <v>Створка</v>
      </c>
      <c r="AA590" s="187">
        <v>600</v>
      </c>
      <c r="AB590" s="124">
        <v>600</v>
      </c>
      <c r="AC590" s="187"/>
      <c r="AD590" s="195">
        <v>1.3</v>
      </c>
      <c r="AE590" s="196">
        <v>3.1</v>
      </c>
      <c r="AF590" s="263" t="str">
        <f>MID(Tabelle2[[#This Row],[bnr full]],1,4)</f>
        <v>F151</v>
      </c>
      <c r="AG590" s="264" t="str">
        <f>MID(Tabelle2[[#This Row],[bnr full]],5,3)</f>
        <v>147</v>
      </c>
      <c r="AH590" s="265" t="str">
        <f>MID(Tabelle2[[#This Row],[bnr full]],8,3)</f>
        <v>678</v>
      </c>
      <c r="AI590" s="264" t="str">
        <f>MID(Tabelle2[[#This Row],[bnr full]],11,3)</f>
        <v>201</v>
      </c>
      <c r="AJ590" s="252" t="str">
        <f>MID(Tabelle2[[#This Row],[bnr full]],11,3)</f>
        <v>201</v>
      </c>
      <c r="AK590" s="197" t="s">
        <v>805</v>
      </c>
      <c r="AL590" s="124" t="str">
        <f ca="1">Sprache!$A$111</f>
        <v>Комплект (Л + П)</v>
      </c>
      <c r="AM590" s="187" t="s">
        <v>25</v>
      </c>
      <c r="AN590" s="187" t="str">
        <f ca="1">Sprache!$A$131</f>
        <v>Пружина, черная, двусторонняя</v>
      </c>
      <c r="AO590" s="187" t="s">
        <v>25</v>
      </c>
      <c r="AP590" s="187" t="s">
        <v>25</v>
      </c>
      <c r="AQ590" s="187">
        <f>Limits!$K$9</f>
        <v>200</v>
      </c>
      <c r="AR590" s="124">
        <v>1200</v>
      </c>
      <c r="AS590" s="187"/>
      <c r="AT590" s="124"/>
      <c r="AV590"/>
      <c r="AX590" s="10"/>
      <c r="AY590" s="11"/>
      <c r="AZ590" s="2"/>
      <c r="BC590"/>
    </row>
    <row r="591" spans="1:55" hidden="1" x14ac:dyDescent="0.25">
      <c r="A591" s="12" t="str">
        <f ca="1">IF(F591+G591+H591+I591+J591+D591+E591=3,IF(Tabelle2[[#This Row],[Kappe Weiß]]=Limits!$R$29,1,""),"")</f>
        <v/>
      </c>
      <c r="B591" s="12" t="str">
        <f ca="1">IF(G591+H591+I591+J591+E591+F591=2,IF(Tabelle2[[#This Row],[Kappe Weiß]]=Limits!$R$29,1,""),"")</f>
        <v/>
      </c>
      <c r="C591" s="291">
        <v>0</v>
      </c>
      <c r="D591" s="171">
        <f>IF(Limits!$P$6=TRUE,1,0)</f>
        <v>0</v>
      </c>
      <c r="E591" s="172">
        <f>IF(Daten!$P591+Daten!$Q591+Daten!$S591=3,1,0)</f>
        <v>0</v>
      </c>
      <c r="F591" s="173">
        <f ca="1">IF(AND(Limits!$Q$21=TRUE,Daten!O591=1)=TRUE,1,0)</f>
        <v>0</v>
      </c>
      <c r="G591" s="174">
        <f>IF(AND(Limits!$Q$25=TRUE,Daten!N591=1)=TRUE,1,0)</f>
        <v>0</v>
      </c>
      <c r="H591" s="174">
        <f>IF(AND(Limits!$Q$24=TRUE,Daten!M591=1)=TRUE,1,0)</f>
        <v>0</v>
      </c>
      <c r="I591" s="174">
        <f>IF(AND(Limits!$Q$23=TRUE,Daten!L591=1)=TRUE,1,0)</f>
        <v>0</v>
      </c>
      <c r="J591" s="174">
        <f>IF(AND(Limits!$Q$22=TRUE,Daten!K591=1)=TRUE,1,0)</f>
        <v>0</v>
      </c>
      <c r="K591" s="188">
        <f>IF(Daten!$V591=13,1,0)</f>
        <v>0</v>
      </c>
      <c r="L591" s="189">
        <f>IF(Daten!$V591&lt;&gt;Daten!$W591,1,IF(Daten!$V591=14,1,0))</f>
        <v>1</v>
      </c>
      <c r="M591" s="189">
        <f>IF(Daten!$V591&lt;&gt;Daten!$W591,1,IF(Daten!$V591=16,1,0))</f>
        <v>0</v>
      </c>
      <c r="N591" s="189">
        <f>IF(Daten!$W591=17,1,0)</f>
        <v>0</v>
      </c>
      <c r="O591" s="190">
        <f ca="1">IF(Daten!$X591=Sprache!$A$70,1,0)</f>
        <v>0</v>
      </c>
      <c r="P591" s="191">
        <f>IF(AND(Daten!$AQ591&lt;=KINVARO!$AW$3,Daten!$AR591&gt;=KINVARO!$AW$3)=TRUE,1,0)</f>
        <v>1</v>
      </c>
      <c r="Q591" s="192">
        <f>IF(AND(Daten!$AA591&lt;=KINVARO!$AW$4,Daten!$AB591&gt;=KINVARO!$AW$4)=TRUE,1,0)</f>
        <v>0</v>
      </c>
      <c r="R591" s="192"/>
      <c r="S591" s="192">
        <f>IF(AND(Daten!$AD591&lt;=Limits!$I$70,Daten!$AE591&gt;=Limits!$I$70)=TRUE,1,0)</f>
        <v>0</v>
      </c>
      <c r="T591" s="193">
        <f ca="1">IF(Daten!$Y591=Sprache!$A$135,1,0)</f>
        <v>0</v>
      </c>
      <c r="U591" s="124" t="str">
        <f ca="1">Sprache!$A$68</f>
        <v>T-65 Поворотный подъемник</v>
      </c>
      <c r="V591" s="194">
        <v>14</v>
      </c>
      <c r="W591" s="193">
        <v>14</v>
      </c>
      <c r="X591" s="187" t="str">
        <f ca="1">Sprache!$A$141</f>
        <v>Alu</v>
      </c>
      <c r="Y591" s="187" t="str">
        <f ca="1">Sprache!$A$136</f>
        <v>nein</v>
      </c>
      <c r="Z591" s="187" t="str">
        <f ca="1">Sprache!$A$79</f>
        <v>Створка</v>
      </c>
      <c r="AA591" s="187">
        <v>600</v>
      </c>
      <c r="AB591" s="124">
        <v>600</v>
      </c>
      <c r="AC591" s="187"/>
      <c r="AD591" s="195">
        <v>1.3</v>
      </c>
      <c r="AE591" s="196">
        <v>3.1</v>
      </c>
      <c r="AF591" s="263" t="str">
        <f>MID(Tabelle2[[#This Row],[bnr full]],1,4)</f>
        <v>F151</v>
      </c>
      <c r="AG591" s="264" t="str">
        <f>MID(Tabelle2[[#This Row],[bnr full]],5,3)</f>
        <v>147</v>
      </c>
      <c r="AH591" s="265" t="str">
        <f>MID(Tabelle2[[#This Row],[bnr full]],8,3)</f>
        <v>679</v>
      </c>
      <c r="AI591" s="264" t="str">
        <f>MID(Tabelle2[[#This Row],[bnr full]],11,3)</f>
        <v>201</v>
      </c>
      <c r="AJ591" s="252" t="str">
        <f>MID(Tabelle2[[#This Row],[bnr full]],11,3)</f>
        <v>201</v>
      </c>
      <c r="AK591" s="197" t="s">
        <v>806</v>
      </c>
      <c r="AL591" s="124" t="str">
        <f ca="1">Sprache!$A$111</f>
        <v>Комплект (Л + П)</v>
      </c>
      <c r="AM591" s="187" t="s">
        <v>25</v>
      </c>
      <c r="AN591" s="187" t="str">
        <f ca="1">Sprache!$A$131</f>
        <v>Пружина, черная, двусторонняя</v>
      </c>
      <c r="AO591" s="187" t="s">
        <v>25</v>
      </c>
      <c r="AP591" s="187" t="s">
        <v>25</v>
      </c>
      <c r="AQ591" s="187">
        <f>Limits!$K$9</f>
        <v>200</v>
      </c>
      <c r="AR591" s="124">
        <v>1200</v>
      </c>
      <c r="AS591" s="187"/>
      <c r="AT591" s="124"/>
      <c r="AV591"/>
      <c r="AX591" s="10"/>
      <c r="AY591" s="11"/>
      <c r="AZ591" s="2"/>
      <c r="BC591"/>
    </row>
    <row r="592" spans="1:55" hidden="1" x14ac:dyDescent="0.25">
      <c r="A592" s="12" t="str">
        <f ca="1">IF(F592+G592+H592+I592+J592+D592+E592=3,IF(Tabelle2[[#This Row],[Kappe Weiß]]=Limits!$R$29,1,""),"")</f>
        <v/>
      </c>
      <c r="B592" s="12" t="str">
        <f ca="1">IF(G592+H592+I592+J592+E592+F592=2,IF(Tabelle2[[#This Row],[Kappe Weiß]]=Limits!$R$29,1,""),"")</f>
        <v/>
      </c>
      <c r="C592" s="291">
        <v>0</v>
      </c>
      <c r="D592" s="171">
        <f>IF(Limits!$P$6=TRUE,1,0)</f>
        <v>0</v>
      </c>
      <c r="E592" s="172">
        <f>IF(Daten!$P592+Daten!$Q592+Daten!$S592=3,1,0)</f>
        <v>0</v>
      </c>
      <c r="F592" s="173">
        <f ca="1">IF(AND(Limits!$Q$21=TRUE,Daten!O592=1)=TRUE,1,0)</f>
        <v>0</v>
      </c>
      <c r="G592" s="174">
        <f>IF(AND(Limits!$Q$25=TRUE,Daten!N592=1)=TRUE,1,0)</f>
        <v>0</v>
      </c>
      <c r="H592" s="174">
        <f>IF(AND(Limits!$Q$24=TRUE,Daten!M592=1)=TRUE,1,0)</f>
        <v>0</v>
      </c>
      <c r="I592" s="174">
        <f>IF(AND(Limits!$Q$23=TRUE,Daten!L592=1)=TRUE,1,0)</f>
        <v>0</v>
      </c>
      <c r="J592" s="174">
        <f>IF(AND(Limits!$Q$22=TRUE,Daten!K592=1)=TRUE,1,0)</f>
        <v>0</v>
      </c>
      <c r="K592" s="188">
        <f>IF(Daten!$V592=13,1,0)</f>
        <v>0</v>
      </c>
      <c r="L592" s="189">
        <f>IF(Daten!$V592&lt;&gt;Daten!$W592,1,IF(Daten!$V592=14,1,0))</f>
        <v>0</v>
      </c>
      <c r="M592" s="189">
        <f>IF(Daten!$V592&lt;&gt;Daten!$W592,1,IF(Daten!$V592=16,1,0))</f>
        <v>1</v>
      </c>
      <c r="N592" s="189">
        <f>IF(Daten!$W592=17,1,0)</f>
        <v>0</v>
      </c>
      <c r="O592" s="190">
        <f ca="1">IF(Daten!$X592=Sprache!$A$70,1,0)</f>
        <v>0</v>
      </c>
      <c r="P592" s="191">
        <f>IF(AND(Daten!$AQ592&lt;=KINVARO!$AW$3,Daten!$AR592&gt;=KINVARO!$AW$3)=TRUE,1,0)</f>
        <v>1</v>
      </c>
      <c r="Q592" s="192">
        <f>IF(AND(Daten!$AA592&lt;=KINVARO!$AW$4,Daten!$AB592&gt;=KINVARO!$AW$4)=TRUE,1,0)</f>
        <v>0</v>
      </c>
      <c r="R592" s="192"/>
      <c r="S592" s="192">
        <f>IF(AND(Daten!$AD592&lt;=Limits!$I$70,Daten!$AE592&gt;=Limits!$I$70)=TRUE,1,0)</f>
        <v>0</v>
      </c>
      <c r="T592" s="193">
        <f ca="1">IF(Daten!$Y592=Sprache!$A$135,1,0)</f>
        <v>0</v>
      </c>
      <c r="U592" s="124" t="str">
        <f ca="1">Sprache!$A$68</f>
        <v>T-65 Поворотный подъемник</v>
      </c>
      <c r="V592" s="194">
        <v>16</v>
      </c>
      <c r="W592" s="193">
        <v>16</v>
      </c>
      <c r="X592" s="187" t="str">
        <f ca="1">Sprache!$A$141</f>
        <v>Alu</v>
      </c>
      <c r="Y592" s="187" t="str">
        <f ca="1">Sprache!$A$136</f>
        <v>nein</v>
      </c>
      <c r="Z592" s="187" t="str">
        <f ca="1">Sprache!$A$79</f>
        <v>Створка</v>
      </c>
      <c r="AA592" s="187">
        <v>600</v>
      </c>
      <c r="AB592" s="124">
        <v>600</v>
      </c>
      <c r="AC592" s="187"/>
      <c r="AD592" s="195">
        <v>1.3</v>
      </c>
      <c r="AE592" s="196">
        <v>3.1</v>
      </c>
      <c r="AF592" s="263" t="str">
        <f>MID(Tabelle2[[#This Row],[bnr full]],1,4)</f>
        <v>F151</v>
      </c>
      <c r="AG592" s="264" t="str">
        <f>MID(Tabelle2[[#This Row],[bnr full]],5,3)</f>
        <v>147</v>
      </c>
      <c r="AH592" s="265" t="str">
        <f>MID(Tabelle2[[#This Row],[bnr full]],8,3)</f>
        <v>680</v>
      </c>
      <c r="AI592" s="264" t="str">
        <f>MID(Tabelle2[[#This Row],[bnr full]],11,3)</f>
        <v>201</v>
      </c>
      <c r="AJ592" s="252" t="str">
        <f>MID(Tabelle2[[#This Row],[bnr full]],11,3)</f>
        <v>201</v>
      </c>
      <c r="AK592" s="197" t="s">
        <v>807</v>
      </c>
      <c r="AL592" s="124" t="str">
        <f ca="1">Sprache!$A$111</f>
        <v>Комплект (Л + П)</v>
      </c>
      <c r="AM592" s="187" t="s">
        <v>25</v>
      </c>
      <c r="AN592" s="187" t="str">
        <f ca="1">Sprache!$A$131</f>
        <v>Пружина, черная, двусторонняя</v>
      </c>
      <c r="AO592" s="187" t="s">
        <v>25</v>
      </c>
      <c r="AP592" s="187" t="s">
        <v>25</v>
      </c>
      <c r="AQ592" s="187">
        <f>Limits!$K$9</f>
        <v>200</v>
      </c>
      <c r="AR592" s="124">
        <v>1200</v>
      </c>
      <c r="AS592" s="187"/>
      <c r="AT592" s="124"/>
      <c r="AV592"/>
      <c r="AX592" s="10"/>
      <c r="AY592" s="11"/>
      <c r="AZ592" s="2"/>
      <c r="BC592"/>
    </row>
    <row r="593" spans="1:55" hidden="1" x14ac:dyDescent="0.25">
      <c r="A593" s="12" t="str">
        <f ca="1">IF(F593+G593+H593+I593+J593+D593+E593=3,IF(Tabelle2[[#This Row],[Kappe Weiß]]=Limits!$R$29,1,""),"")</f>
        <v/>
      </c>
      <c r="B593" s="12" t="str">
        <f ca="1">IF(G593+H593+I593+J593+E593+F593=2,IF(Tabelle2[[#This Row],[Kappe Weiß]]=Limits!$R$29,1,""),"")</f>
        <v/>
      </c>
      <c r="C593" s="291">
        <v>0</v>
      </c>
      <c r="D593" s="207">
        <f>IF(Limits!$P$6=TRUE,1,0)</f>
        <v>0</v>
      </c>
      <c r="E593" s="172">
        <f>IF(Daten!$P593+Daten!$Q593+Daten!$S593=3,1,0)</f>
        <v>0</v>
      </c>
      <c r="F593" s="173">
        <f ca="1">IF(AND(Limits!$Q$21=TRUE,Daten!O593=1)=TRUE,1,0)</f>
        <v>0</v>
      </c>
      <c r="G593" s="174">
        <f>IF(AND(Limits!$Q$25=TRUE,Daten!N593=1)=TRUE,1,0)</f>
        <v>0</v>
      </c>
      <c r="H593" s="174">
        <f>IF(AND(Limits!$Q$24=TRUE,Daten!M593=1)=TRUE,1,0)</f>
        <v>0</v>
      </c>
      <c r="I593" s="174">
        <f>IF(AND(Limits!$Q$23=TRUE,Daten!L593=1)=TRUE,1,0)</f>
        <v>0</v>
      </c>
      <c r="J593" s="174">
        <f>IF(AND(Limits!$Q$22=TRUE,Daten!K593=1)=TRUE,1,0)</f>
        <v>0</v>
      </c>
      <c r="K593" s="188">
        <f>IF(Daten!$V593=13,1,0)</f>
        <v>0</v>
      </c>
      <c r="L593" s="189">
        <f>IF(Daten!$V593&lt;&gt;Daten!$W593,1,IF(Daten!$V593=14,1,0))</f>
        <v>0</v>
      </c>
      <c r="M593" s="189">
        <f>IF(Daten!$V593&lt;&gt;Daten!$W593,1,IF(Daten!$V593=16,1,0))</f>
        <v>0</v>
      </c>
      <c r="N593" s="189">
        <f>IF(Daten!$W593=17,1,0)</f>
        <v>1</v>
      </c>
      <c r="O593" s="190">
        <f ca="1">IF(Daten!$X593=Sprache!$A$70,1,0)</f>
        <v>0</v>
      </c>
      <c r="P593" s="191">
        <f>IF(AND(Daten!$AQ593&lt;=KINVARO!$AW$3,Daten!$AR593&gt;=KINVARO!$AW$3)=TRUE,1,0)</f>
        <v>1</v>
      </c>
      <c r="Q593" s="192">
        <f>IF(AND(Daten!$AA593&lt;=KINVARO!$AW$4,Daten!$AB593&gt;=KINVARO!$AW$4)=TRUE,1,0)</f>
        <v>0</v>
      </c>
      <c r="R593" s="192"/>
      <c r="S593" s="192">
        <f>IF(AND(Daten!$AD593&lt;=Limits!$I$70,Daten!$AE593&gt;=Limits!$I$70)=TRUE,1,0)</f>
        <v>0</v>
      </c>
      <c r="T593" s="193">
        <f ca="1">IF(Daten!$Y593=Sprache!$A$135,1,0)</f>
        <v>0</v>
      </c>
      <c r="U593" s="124" t="str">
        <f ca="1">Sprache!$A$68</f>
        <v>T-65 Поворотный подъемник</v>
      </c>
      <c r="V593" s="194">
        <v>17</v>
      </c>
      <c r="W593" s="193">
        <v>17</v>
      </c>
      <c r="X593" s="187" t="str">
        <f ca="1">Sprache!$A$141</f>
        <v>Alu</v>
      </c>
      <c r="Y593" s="187" t="str">
        <f ca="1">Sprache!$A$136</f>
        <v>nein</v>
      </c>
      <c r="Z593" s="187" t="str">
        <f ca="1">Sprache!$A$79</f>
        <v>Створка</v>
      </c>
      <c r="AA593" s="187">
        <v>600</v>
      </c>
      <c r="AB593" s="124">
        <v>600</v>
      </c>
      <c r="AC593" s="187"/>
      <c r="AD593" s="195">
        <v>1.3</v>
      </c>
      <c r="AE593" s="196">
        <v>3.1</v>
      </c>
      <c r="AF593" s="263" t="str">
        <f>MID(Tabelle2[[#This Row],[bnr full]],1,4)</f>
        <v>F151</v>
      </c>
      <c r="AG593" s="264" t="str">
        <f>MID(Tabelle2[[#This Row],[bnr full]],5,3)</f>
        <v>147</v>
      </c>
      <c r="AH593" s="265" t="str">
        <f>MID(Tabelle2[[#This Row],[bnr full]],8,3)</f>
        <v>681</v>
      </c>
      <c r="AI593" s="264" t="str">
        <f>MID(Tabelle2[[#This Row],[bnr full]],11,3)</f>
        <v>201</v>
      </c>
      <c r="AJ593" s="252" t="str">
        <f>MID(Tabelle2[[#This Row],[bnr full]],11,3)</f>
        <v>201</v>
      </c>
      <c r="AK593" s="197" t="s">
        <v>808</v>
      </c>
      <c r="AL593" s="124" t="str">
        <f ca="1">Sprache!$A$111</f>
        <v>Комплект (Л + П)</v>
      </c>
      <c r="AM593" s="187" t="s">
        <v>25</v>
      </c>
      <c r="AN593" s="187" t="str">
        <f ca="1">Sprache!$A$131</f>
        <v>Пружина, черная, двусторонняя</v>
      </c>
      <c r="AO593" s="187" t="s">
        <v>25</v>
      </c>
      <c r="AP593" s="187" t="s">
        <v>25</v>
      </c>
      <c r="AQ593" s="187">
        <f>Limits!$K$9</f>
        <v>200</v>
      </c>
      <c r="AR593" s="124">
        <v>1200</v>
      </c>
      <c r="AS593" s="187"/>
      <c r="AT593" s="124"/>
      <c r="AV593"/>
      <c r="AX593" s="10"/>
      <c r="AY593" s="11"/>
      <c r="AZ593" s="2"/>
      <c r="BC593"/>
    </row>
    <row r="594" spans="1:55" ht="15.75" hidden="1" thickTop="1" x14ac:dyDescent="0.25">
      <c r="A594" s="12" t="str">
        <f ca="1">IF(F594+G594+H594+I594+J594+D594+E594=3,IF(Tabelle2[[#This Row],[Kappe Weiß]]=Limits!$R$29,1,""),"")</f>
        <v/>
      </c>
      <c r="B594" s="12" t="str">
        <f ca="1">IF(G594+H594+I594+J594+E594+F594=2,IF(Tabelle2[[#This Row],[Kappe Weiß]]=Limits!$R$29,1,""),"")</f>
        <v/>
      </c>
      <c r="C594" s="293">
        <v>1</v>
      </c>
      <c r="D594" s="171">
        <f>IF(Limits!$P$6=TRUE,1,0)</f>
        <v>0</v>
      </c>
      <c r="E594" s="172">
        <f>IF(Daten!$P594+Daten!$Q594+Daten!$S594=3,1,0)</f>
        <v>0</v>
      </c>
      <c r="F594" s="173">
        <f ca="1">IF(AND(Limits!$Q$21=TRUE,Daten!O594=1)=TRUE,1,0)</f>
        <v>1</v>
      </c>
      <c r="G594" s="174">
        <f ca="1">IF(AND(Limits!$Q$25=TRUE,Daten!N594=1)=TRUE,1,0)</f>
        <v>0</v>
      </c>
      <c r="H594" s="174">
        <f ca="1">IF(AND(Limits!$Q$24=TRUE,Daten!M594=1)=TRUE,1,0)</f>
        <v>0</v>
      </c>
      <c r="I594" s="174">
        <f ca="1">IF(AND(Limits!$Q$23=TRUE,Daten!L594=1)=TRUE,1,0)</f>
        <v>0</v>
      </c>
      <c r="J594" s="174">
        <f ca="1">IF(AND(Limits!$Q$22=TRUE,Daten!K594=1)=TRUE,1,0)</f>
        <v>0</v>
      </c>
      <c r="K594" s="188">
        <f ca="1">IF(Daten!$V594=13,1,0)</f>
        <v>0</v>
      </c>
      <c r="L594" s="189">
        <f ca="1">IF(Daten!$V594&lt;&gt;Daten!$W594,1,IF(Daten!$V594=14,1,0))</f>
        <v>0</v>
      </c>
      <c r="M594" s="189">
        <f ca="1">IF(Daten!$V594&lt;&gt;Daten!$W594,1,IF(Daten!$V594=16,1,0))</f>
        <v>0</v>
      </c>
      <c r="N594" s="189">
        <f ca="1">IF(Daten!$W594=17,1,0)</f>
        <v>0</v>
      </c>
      <c r="O594" s="190">
        <f ca="1">IF(Daten!$X594=Sprache!$A$70,1,0)</f>
        <v>1</v>
      </c>
      <c r="P594" s="208">
        <f>IF(AND(Daten!$AQ594&lt;=KINVARO!$AW$3,Daten!$AR594&gt;=KINVARO!$AW$3)=TRUE,1,0)</f>
        <v>1</v>
      </c>
      <c r="Q594" s="209">
        <f>IF(AND(Daten!$AA594&lt;=KINVARO!$AW$4,Daten!$AB594&gt;=KINVARO!$AW$4)=TRUE,1,0)</f>
        <v>0</v>
      </c>
      <c r="R594" s="209"/>
      <c r="S594" s="209">
        <f>IF(AND(Daten!$AD594&lt;=Limits!$I$70,Daten!$AE594&gt;=Limits!$I$70)=TRUE,1,0)</f>
        <v>0</v>
      </c>
      <c r="T594" s="210">
        <f ca="1">IF(Daten!$Y594=Sprache!$A$135,1,0)</f>
        <v>0</v>
      </c>
      <c r="U594" s="211" t="str">
        <f ca="1">Sprache!$A$68</f>
        <v>T-65 Поворотный подъемник</v>
      </c>
      <c r="V594" s="212" t="str">
        <f ca="1">Sprache!$A$74</f>
        <v>var</v>
      </c>
      <c r="W594" s="210" t="str">
        <f ca="1">Sprache!$A$74</f>
        <v>var</v>
      </c>
      <c r="X594" s="213" t="str">
        <f ca="1">Sprache!$A$70</f>
        <v>соединение с древесиной</v>
      </c>
      <c r="Y594" s="187" t="str">
        <f ca="1">Sprache!$A$136</f>
        <v>nein</v>
      </c>
      <c r="Z594" s="213" t="str">
        <f ca="1">Sprache!$A$79</f>
        <v>Створка</v>
      </c>
      <c r="AA594" s="213">
        <v>250</v>
      </c>
      <c r="AB594" s="211">
        <v>299</v>
      </c>
      <c r="AC594" s="213"/>
      <c r="AD594" s="214">
        <v>0.9</v>
      </c>
      <c r="AE594" s="215">
        <v>2.1</v>
      </c>
      <c r="AF594" s="269" t="str">
        <f>MID(Tabelle2[[#This Row],[bnr full]],1,4)</f>
        <v>F151</v>
      </c>
      <c r="AG594" s="270" t="str">
        <f>MID(Tabelle2[[#This Row],[bnr full]],5,3)</f>
        <v>147</v>
      </c>
      <c r="AH594" s="271" t="str">
        <f>MID(Tabelle2[[#This Row],[bnr full]],8,3)</f>
        <v>797</v>
      </c>
      <c r="AI594" s="270" t="str">
        <f>MID(Tabelle2[[#This Row],[bnr full]],11,3)</f>
        <v>201</v>
      </c>
      <c r="AJ594" s="254" t="str">
        <f>MID(Tabelle2[[#This Row],[bnr full]],11,3)</f>
        <v>201</v>
      </c>
      <c r="AK594" s="216" t="s">
        <v>1667</v>
      </c>
      <c r="AL594" s="211" t="str">
        <f ca="1">Sprache!$A$111</f>
        <v>Комплект (Л + П)</v>
      </c>
      <c r="AM594" s="213" t="s">
        <v>25</v>
      </c>
      <c r="AN594" s="213" t="str">
        <f ca="1">Sprache!$A$129</f>
        <v>Пружина, желтая, односторонняя</v>
      </c>
      <c r="AO594" s="187" t="s">
        <v>25</v>
      </c>
      <c r="AP594" s="187" t="s">
        <v>25</v>
      </c>
      <c r="AQ594" s="213">
        <f>Limits!$K$9</f>
        <v>200</v>
      </c>
      <c r="AR594" s="124">
        <v>1200</v>
      </c>
      <c r="AS594" s="187"/>
      <c r="AT594" s="124"/>
      <c r="AV594"/>
      <c r="AX594" s="10"/>
      <c r="AY594" s="11"/>
      <c r="AZ594" s="2"/>
      <c r="BC594"/>
    </row>
    <row r="595" spans="1:55" hidden="1" x14ac:dyDescent="0.25">
      <c r="A595" s="12" t="str">
        <f ca="1">IF(F595+G595+H595+I595+J595+D595+E595=3,IF(Tabelle2[[#This Row],[Kappe Weiß]]=Limits!$R$29,1,""),"")</f>
        <v/>
      </c>
      <c r="B595" s="12" t="str">
        <f ca="1">IF(G595+H595+I595+J595+E595+F595=2,IF(Tabelle2[[#This Row],[Kappe Weiß]]=Limits!$R$29,1,""),"")</f>
        <v/>
      </c>
      <c r="C595" s="291">
        <v>1</v>
      </c>
      <c r="D595" s="171">
        <f>IF(Limits!$P$6=TRUE,1,0)</f>
        <v>0</v>
      </c>
      <c r="E595" s="172">
        <f>IF(Daten!$P595+Daten!$Q595+Daten!$S595=3,1,0)</f>
        <v>0</v>
      </c>
      <c r="F595" s="173">
        <f ca="1">IF(AND(Limits!$Q$21=TRUE,Daten!O595=1)=TRUE,1,0)</f>
        <v>1</v>
      </c>
      <c r="G595" s="174">
        <f ca="1">IF(AND(Limits!$Q$25=TRUE,Daten!N595=1)=TRUE,1,0)</f>
        <v>0</v>
      </c>
      <c r="H595" s="174">
        <f ca="1">IF(AND(Limits!$Q$24=TRUE,Daten!M595=1)=TRUE,1,0)</f>
        <v>0</v>
      </c>
      <c r="I595" s="174">
        <f ca="1">IF(AND(Limits!$Q$23=TRUE,Daten!L595=1)=TRUE,1,0)</f>
        <v>0</v>
      </c>
      <c r="J595" s="174">
        <f ca="1">IF(AND(Limits!$Q$22=TRUE,Daten!K595=1)=TRUE,1,0)</f>
        <v>0</v>
      </c>
      <c r="K595" s="188">
        <f ca="1">IF(Daten!$V595=13,1,0)</f>
        <v>0</v>
      </c>
      <c r="L595" s="189">
        <f ca="1">IF(Daten!$V595&lt;&gt;Daten!$W595,1,IF(Daten!$V595=14,1,0))</f>
        <v>0</v>
      </c>
      <c r="M595" s="189">
        <f ca="1">IF(Daten!$V595&lt;&gt;Daten!$W595,1,IF(Daten!$V595=16,1,0))</f>
        <v>0</v>
      </c>
      <c r="N595" s="189">
        <f ca="1">IF(Daten!$W595=17,1,0)</f>
        <v>0</v>
      </c>
      <c r="O595" s="190">
        <f ca="1">IF(Daten!$X595=Sprache!$A$70,1,0)</f>
        <v>1</v>
      </c>
      <c r="P595" s="191">
        <f>IF(AND(Daten!$AQ595&lt;=KINVARO!$AW$3,Daten!$AR595&gt;=KINVARO!$AW$3)=TRUE,1,0)</f>
        <v>1</v>
      </c>
      <c r="Q595" s="192">
        <f>IF(AND(Daten!$AA595&lt;=KINVARO!$AW$4,Daten!$AB595&gt;=KINVARO!$AW$4)=TRUE,1,0)</f>
        <v>0</v>
      </c>
      <c r="R595" s="192"/>
      <c r="S595" s="192">
        <f>IF(AND(Daten!$AD595&lt;=Limits!$I$70,Daten!$AE595&gt;=Limits!$I$70)=TRUE,1,0)</f>
        <v>0</v>
      </c>
      <c r="T595" s="193">
        <f ca="1">IF(Daten!$Y595=Sprache!$A$135,1,0)</f>
        <v>0</v>
      </c>
      <c r="U595" s="124" t="str">
        <f ca="1">Sprache!$A$68</f>
        <v>T-65 Поворотный подъемник</v>
      </c>
      <c r="V595" s="194" t="str">
        <f ca="1">Sprache!$A$74</f>
        <v>var</v>
      </c>
      <c r="W595" s="193" t="str">
        <f ca="1">Sprache!$A$74</f>
        <v>var</v>
      </c>
      <c r="X595" s="187" t="str">
        <f ca="1">Sprache!$A$70</f>
        <v>соединение с древесиной</v>
      </c>
      <c r="Y595" s="187" t="str">
        <f ca="1">Sprache!$A$136</f>
        <v>nein</v>
      </c>
      <c r="Z595" s="187" t="str">
        <f ca="1">Sprache!$A$79</f>
        <v>Створка</v>
      </c>
      <c r="AA595" s="187">
        <v>250</v>
      </c>
      <c r="AB595" s="124">
        <v>299</v>
      </c>
      <c r="AC595" s="187"/>
      <c r="AD595" s="195">
        <v>1.8</v>
      </c>
      <c r="AE595" s="196">
        <v>4.2</v>
      </c>
      <c r="AF595" s="263" t="str">
        <f>MID(Tabelle2[[#This Row],[bnr full]],1,4)</f>
        <v>F151</v>
      </c>
      <c r="AG595" s="264" t="str">
        <f>MID(Tabelle2[[#This Row],[bnr full]],5,3)</f>
        <v>147</v>
      </c>
      <c r="AH595" s="265" t="str">
        <f>MID(Tabelle2[[#This Row],[bnr full]],8,3)</f>
        <v>797</v>
      </c>
      <c r="AI595" s="264" t="str">
        <f>MID(Tabelle2[[#This Row],[bnr full]],11,3)</f>
        <v>201</v>
      </c>
      <c r="AJ595" s="252" t="str">
        <f>MID(Tabelle2[[#This Row],[bnr full]],11,3)</f>
        <v>201</v>
      </c>
      <c r="AK595" s="197" t="s">
        <v>1667</v>
      </c>
      <c r="AL595" s="124" t="str">
        <f ca="1">Sprache!$A$111</f>
        <v>Комплект (Л + П)</v>
      </c>
      <c r="AM595" s="187" t="s">
        <v>25</v>
      </c>
      <c r="AN595" s="187" t="str">
        <f ca="1">Sprache!$A$130</f>
        <v>Пружина, желтая, двусторонняя</v>
      </c>
      <c r="AO595" s="187" t="s">
        <v>25</v>
      </c>
      <c r="AP595" s="187" t="s">
        <v>25</v>
      </c>
      <c r="AQ595" s="187">
        <f>Limits!$K$9</f>
        <v>200</v>
      </c>
      <c r="AR595" s="124">
        <v>1200</v>
      </c>
      <c r="AS595" s="187"/>
      <c r="AT595" s="124"/>
      <c r="AV595"/>
      <c r="AX595" s="10"/>
      <c r="AY595" s="11"/>
      <c r="AZ595" s="2"/>
      <c r="BC595"/>
    </row>
    <row r="596" spans="1:55" hidden="1" x14ac:dyDescent="0.25">
      <c r="A596" s="12" t="str">
        <f ca="1">IF(F596+G596+H596+I596+J596+D596+E596=3,IF(Tabelle2[[#This Row],[Kappe Weiß]]=Limits!$R$29,1,""),"")</f>
        <v/>
      </c>
      <c r="B596" s="12" t="str">
        <f ca="1">IF(G596+H596+I596+J596+E596+F596=2,IF(Tabelle2[[#This Row],[Kappe Weiß]]=Limits!$R$29,1,""),"")</f>
        <v/>
      </c>
      <c r="C596" s="291">
        <v>1</v>
      </c>
      <c r="D596" s="171">
        <f>IF(Limits!$P$6=TRUE,1,0)</f>
        <v>0</v>
      </c>
      <c r="E596" s="172">
        <f>IF(Daten!$P596+Daten!$Q596+Daten!$S596=3,1,0)</f>
        <v>0</v>
      </c>
      <c r="F596" s="173">
        <f ca="1">IF(AND(Limits!$Q$21=TRUE,Daten!O596=1)=TRUE,1,0)</f>
        <v>1</v>
      </c>
      <c r="G596" s="174">
        <f ca="1">IF(AND(Limits!$Q$25=TRUE,Daten!N596=1)=TRUE,1,0)</f>
        <v>0</v>
      </c>
      <c r="H596" s="174">
        <f ca="1">IF(AND(Limits!$Q$24=TRUE,Daten!M596=1)=TRUE,1,0)</f>
        <v>0</v>
      </c>
      <c r="I596" s="174">
        <f ca="1">IF(AND(Limits!$Q$23=TRUE,Daten!L596=1)=TRUE,1,0)</f>
        <v>0</v>
      </c>
      <c r="J596" s="174">
        <f ca="1">IF(AND(Limits!$Q$22=TRUE,Daten!K596=1)=TRUE,1,0)</f>
        <v>0</v>
      </c>
      <c r="K596" s="188">
        <f ca="1">IF(Daten!$V596=13,1,0)</f>
        <v>0</v>
      </c>
      <c r="L596" s="189">
        <f ca="1">IF(Daten!$V596&lt;&gt;Daten!$W596,1,IF(Daten!$V596=14,1,0))</f>
        <v>0</v>
      </c>
      <c r="M596" s="189">
        <f ca="1">IF(Daten!$V596&lt;&gt;Daten!$W596,1,IF(Daten!$V596=16,1,0))</f>
        <v>0</v>
      </c>
      <c r="N596" s="189">
        <f ca="1">IF(Daten!$W596=17,1,0)</f>
        <v>0</v>
      </c>
      <c r="O596" s="190">
        <f ca="1">IF(Daten!$X596=Sprache!$A$70,1,0)</f>
        <v>1</v>
      </c>
      <c r="P596" s="191">
        <f>IF(AND(Daten!$AQ596&lt;=KINVARO!$AW$3,Daten!$AR596&gt;=KINVARO!$AW$3)=TRUE,1,0)</f>
        <v>1</v>
      </c>
      <c r="Q596" s="192">
        <f>IF(AND(Daten!$AA596&lt;=KINVARO!$AW$4,Daten!$AB596&gt;=KINVARO!$AW$4)=TRUE,1,0)</f>
        <v>0</v>
      </c>
      <c r="R596" s="192"/>
      <c r="S596" s="192">
        <f>IF(AND(Daten!$AD596&lt;=Limits!$I$70,Daten!$AE596&gt;=Limits!$I$70)=TRUE,1,0)</f>
        <v>0</v>
      </c>
      <c r="T596" s="193">
        <f ca="1">IF(Daten!$Y596=Sprache!$A$135,1,0)</f>
        <v>0</v>
      </c>
      <c r="U596" s="124" t="str">
        <f ca="1">Sprache!$A$68</f>
        <v>T-65 Поворотный подъемник</v>
      </c>
      <c r="V596" s="194" t="str">
        <f ca="1">Sprache!$A$74</f>
        <v>var</v>
      </c>
      <c r="W596" s="193" t="str">
        <f ca="1">Sprache!$A$74</f>
        <v>var</v>
      </c>
      <c r="X596" s="187" t="str">
        <f ca="1">Sprache!$A$70</f>
        <v>соединение с древесиной</v>
      </c>
      <c r="Y596" s="187" t="str">
        <f ca="1">Sprache!$A$136</f>
        <v>nein</v>
      </c>
      <c r="Z596" s="187" t="str">
        <f ca="1">Sprache!$A$79</f>
        <v>Створка</v>
      </c>
      <c r="AA596" s="187">
        <v>250</v>
      </c>
      <c r="AB596" s="124">
        <v>299</v>
      </c>
      <c r="AC596" s="187"/>
      <c r="AD596" s="195">
        <v>2.4</v>
      </c>
      <c r="AE596" s="196">
        <v>7.4</v>
      </c>
      <c r="AF596" s="263" t="str">
        <f>MID(Tabelle2[[#This Row],[bnr full]],1,4)</f>
        <v>F151</v>
      </c>
      <c r="AG596" s="264" t="str">
        <f>MID(Tabelle2[[#This Row],[bnr full]],5,3)</f>
        <v>147</v>
      </c>
      <c r="AH596" s="265" t="str">
        <f>MID(Tabelle2[[#This Row],[bnr full]],8,3)</f>
        <v>797</v>
      </c>
      <c r="AI596" s="264" t="str">
        <f>MID(Tabelle2[[#This Row],[bnr full]],11,3)</f>
        <v>201</v>
      </c>
      <c r="AJ596" s="252" t="str">
        <f>MID(Tabelle2[[#This Row],[bnr full]],11,3)</f>
        <v>201</v>
      </c>
      <c r="AK596" s="197" t="s">
        <v>1667</v>
      </c>
      <c r="AL596" s="124" t="str">
        <f ca="1">Sprache!$A$111</f>
        <v>Комплект (Л + П)</v>
      </c>
      <c r="AM596" s="187" t="s">
        <v>25</v>
      </c>
      <c r="AN596" s="187" t="str">
        <f ca="1">Sprache!$A$131</f>
        <v>Пружина, черная, двусторонняя</v>
      </c>
      <c r="AO596" s="187" t="s">
        <v>25</v>
      </c>
      <c r="AP596" s="187" t="s">
        <v>25</v>
      </c>
      <c r="AQ596" s="187">
        <f>Limits!$K$9</f>
        <v>200</v>
      </c>
      <c r="AR596" s="124">
        <v>1200</v>
      </c>
      <c r="AS596" s="187"/>
      <c r="AT596" s="124"/>
      <c r="AV596"/>
      <c r="AX596" s="10"/>
      <c r="AY596" s="11"/>
      <c r="AZ596" s="2"/>
      <c r="BC596"/>
    </row>
    <row r="597" spans="1:55" hidden="1" x14ac:dyDescent="0.25">
      <c r="A597" s="12" t="str">
        <f ca="1">IF(F597+G597+H597+I597+J597+D597+E597=3,IF(Tabelle2[[#This Row],[Kappe Weiß]]=Limits!$R$29,1,""),"")</f>
        <v/>
      </c>
      <c r="B597" s="12" t="str">
        <f ca="1">IF(G597+H597+I597+J597+E597+F597=2,IF(Tabelle2[[#This Row],[Kappe Weiß]]=Limits!$R$29,1,""),"")</f>
        <v/>
      </c>
      <c r="C597" s="291">
        <v>1</v>
      </c>
      <c r="D597" s="171">
        <f>IF(Limits!$P$6=TRUE,1,0)</f>
        <v>0</v>
      </c>
      <c r="E597" s="172">
        <f>IF(Daten!$P597+Daten!$Q597+Daten!$S597=3,1,0)</f>
        <v>0</v>
      </c>
      <c r="F597" s="173">
        <f ca="1">IF(AND(Limits!$Q$21=TRUE,Daten!O597=1)=TRUE,1,0)</f>
        <v>0</v>
      </c>
      <c r="G597" s="174">
        <f>IF(AND(Limits!$Q$25=TRUE,Daten!N597=1)=TRUE,1,0)</f>
        <v>0</v>
      </c>
      <c r="H597" s="174">
        <f>IF(AND(Limits!$Q$24=TRUE,Daten!M597=1)=TRUE,1,0)</f>
        <v>0</v>
      </c>
      <c r="I597" s="174">
        <f>IF(AND(Limits!$Q$23=TRUE,Daten!L597=1)=TRUE,1,0)</f>
        <v>0</v>
      </c>
      <c r="J597" s="174">
        <f>IF(AND(Limits!$Q$22=TRUE,Daten!K597=1)=TRUE,1,0)</f>
        <v>0</v>
      </c>
      <c r="K597" s="188">
        <f>IF(Daten!$V597=13,1,0)</f>
        <v>1</v>
      </c>
      <c r="L597" s="189">
        <f>IF(Daten!$V597&lt;&gt;Daten!$W597,1,IF(Daten!$V597=14,1,0))</f>
        <v>0</v>
      </c>
      <c r="M597" s="189">
        <f>IF(Daten!$V597&lt;&gt;Daten!$W597,1,IF(Daten!$V597=16,1,0))</f>
        <v>0</v>
      </c>
      <c r="N597" s="189">
        <f>IF(Daten!$W597=17,1,0)</f>
        <v>0</v>
      </c>
      <c r="O597" s="190">
        <f ca="1">IF(Daten!$X597=Sprache!$A$70,1,0)</f>
        <v>0</v>
      </c>
      <c r="P597" s="191">
        <f>IF(AND(Daten!$AQ597&lt;=KINVARO!$AW$3,Daten!$AR597&gt;=KINVARO!$AW$3)=TRUE,1,0)</f>
        <v>1</v>
      </c>
      <c r="Q597" s="192">
        <f>IF(AND(Daten!$AA597&lt;=KINVARO!$AW$4,Daten!$AB597&gt;=KINVARO!$AW$4)=TRUE,1,0)</f>
        <v>0</v>
      </c>
      <c r="R597" s="192"/>
      <c r="S597" s="192">
        <f>IF(AND(Daten!$AD597&lt;=Limits!$I$70,Daten!$AE597&gt;=Limits!$I$70)=TRUE,1,0)</f>
        <v>0</v>
      </c>
      <c r="T597" s="193">
        <f ca="1">IF(Daten!$Y597=Sprache!$A$135,1,0)</f>
        <v>0</v>
      </c>
      <c r="U597" s="124" t="str">
        <f ca="1">Sprache!$A$68</f>
        <v>T-65 Поворотный подъемник</v>
      </c>
      <c r="V597" s="194">
        <v>13</v>
      </c>
      <c r="W597" s="193">
        <v>13</v>
      </c>
      <c r="X597" s="187" t="str">
        <f ca="1">Sprache!$A$141</f>
        <v>Alu</v>
      </c>
      <c r="Y597" s="187" t="str">
        <f ca="1">Sprache!$A$136</f>
        <v>nein</v>
      </c>
      <c r="Z597" s="187" t="str">
        <f ca="1">Sprache!$A$79</f>
        <v>Створка</v>
      </c>
      <c r="AA597" s="187">
        <v>250</v>
      </c>
      <c r="AB597" s="124">
        <v>299</v>
      </c>
      <c r="AC597" s="187"/>
      <c r="AD597" s="195">
        <v>0.9</v>
      </c>
      <c r="AE597" s="196">
        <v>2.1</v>
      </c>
      <c r="AF597" s="263" t="str">
        <f>MID(Tabelle2[[#This Row],[bnr full]],1,4)</f>
        <v>F151</v>
      </c>
      <c r="AG597" s="264" t="str">
        <f>MID(Tabelle2[[#This Row],[bnr full]],5,3)</f>
        <v>147</v>
      </c>
      <c r="AH597" s="265" t="str">
        <f>MID(Tabelle2[[#This Row],[bnr full]],8,3)</f>
        <v>798</v>
      </c>
      <c r="AI597" s="264" t="str">
        <f>MID(Tabelle2[[#This Row],[bnr full]],11,3)</f>
        <v>201</v>
      </c>
      <c r="AJ597" s="252" t="str">
        <f>MID(Tabelle2[[#This Row],[bnr full]],11,3)</f>
        <v>201</v>
      </c>
      <c r="AK597" s="197" t="s">
        <v>1668</v>
      </c>
      <c r="AL597" s="124" t="str">
        <f ca="1">Sprache!$A$111</f>
        <v>Комплект (Л + П)</v>
      </c>
      <c r="AM597" s="187" t="s">
        <v>25</v>
      </c>
      <c r="AN597" s="187" t="str">
        <f ca="1">Sprache!$A$129</f>
        <v>Пружина, желтая, односторонняя</v>
      </c>
      <c r="AO597" s="187" t="s">
        <v>25</v>
      </c>
      <c r="AP597" s="187" t="s">
        <v>25</v>
      </c>
      <c r="AQ597" s="187">
        <f>Limits!$K$9</f>
        <v>200</v>
      </c>
      <c r="AR597" s="124">
        <v>1200</v>
      </c>
      <c r="AS597" s="187"/>
      <c r="AT597" s="124"/>
      <c r="AV597"/>
      <c r="AX597" s="10"/>
      <c r="AY597" s="11"/>
      <c r="AZ597" s="2"/>
      <c r="BC597"/>
    </row>
    <row r="598" spans="1:55" hidden="1" x14ac:dyDescent="0.25">
      <c r="A598" s="12" t="str">
        <f ca="1">IF(F598+G598+H598+I598+J598+D598+E598=3,IF(Tabelle2[[#This Row],[Kappe Weiß]]=Limits!$R$29,1,""),"")</f>
        <v/>
      </c>
      <c r="B598" s="12" t="str">
        <f ca="1">IF(G598+H598+I598+J598+E598+F598=2,IF(Tabelle2[[#This Row],[Kappe Weiß]]=Limits!$R$29,1,""),"")</f>
        <v/>
      </c>
      <c r="C598" s="291">
        <v>1</v>
      </c>
      <c r="D598" s="171">
        <f>IF(Limits!$P$6=TRUE,1,0)</f>
        <v>0</v>
      </c>
      <c r="E598" s="172">
        <f>IF(Daten!$P598+Daten!$Q598+Daten!$S598=3,1,0)</f>
        <v>0</v>
      </c>
      <c r="F598" s="173">
        <f ca="1">IF(AND(Limits!$Q$21=TRUE,Daten!O598=1)=TRUE,1,0)</f>
        <v>0</v>
      </c>
      <c r="G598" s="174">
        <f>IF(AND(Limits!$Q$25=TRUE,Daten!N598=1)=TRUE,1,0)</f>
        <v>0</v>
      </c>
      <c r="H598" s="174">
        <f>IF(AND(Limits!$Q$24=TRUE,Daten!M598=1)=TRUE,1,0)</f>
        <v>0</v>
      </c>
      <c r="I598" s="174">
        <f>IF(AND(Limits!$Q$23=TRUE,Daten!L598=1)=TRUE,1,0)</f>
        <v>0</v>
      </c>
      <c r="J598" s="174">
        <f>IF(AND(Limits!$Q$22=TRUE,Daten!K598=1)=TRUE,1,0)</f>
        <v>0</v>
      </c>
      <c r="K598" s="188">
        <f>IF(Daten!$V598=13,1,0)</f>
        <v>1</v>
      </c>
      <c r="L598" s="189">
        <f>IF(Daten!$V598&lt;&gt;Daten!$W598,1,IF(Daten!$V598=14,1,0))</f>
        <v>0</v>
      </c>
      <c r="M598" s="189">
        <f>IF(Daten!$V598&lt;&gt;Daten!$W598,1,IF(Daten!$V598=16,1,0))</f>
        <v>0</v>
      </c>
      <c r="N598" s="189">
        <f>IF(Daten!$W598=17,1,0)</f>
        <v>0</v>
      </c>
      <c r="O598" s="190">
        <f ca="1">IF(Daten!$X598=Sprache!$A$70,1,0)</f>
        <v>0</v>
      </c>
      <c r="P598" s="191">
        <f>IF(AND(Daten!$AQ598&lt;=KINVARO!$AW$3,Daten!$AR598&gt;=KINVARO!$AW$3)=TRUE,1,0)</f>
        <v>1</v>
      </c>
      <c r="Q598" s="192">
        <f>IF(AND(Daten!$AA598&lt;=KINVARO!$AW$4,Daten!$AB598&gt;=KINVARO!$AW$4)=TRUE,1,0)</f>
        <v>0</v>
      </c>
      <c r="R598" s="192"/>
      <c r="S598" s="192">
        <f>IF(AND(Daten!$AD598&lt;=Limits!$I$70,Daten!$AE598&gt;=Limits!$I$70)=TRUE,1,0)</f>
        <v>0</v>
      </c>
      <c r="T598" s="193">
        <f ca="1">IF(Daten!$Y598=Sprache!$A$135,1,0)</f>
        <v>0</v>
      </c>
      <c r="U598" s="124" t="str">
        <f ca="1">Sprache!$A$68</f>
        <v>T-65 Поворотный подъемник</v>
      </c>
      <c r="V598" s="194">
        <v>13</v>
      </c>
      <c r="W598" s="193">
        <v>13</v>
      </c>
      <c r="X598" s="187" t="str">
        <f ca="1">Sprache!$A$141</f>
        <v>Alu</v>
      </c>
      <c r="Y598" s="187" t="str">
        <f ca="1">Sprache!$A$136</f>
        <v>nein</v>
      </c>
      <c r="Z598" s="187" t="str">
        <f ca="1">Sprache!$A$79</f>
        <v>Створка</v>
      </c>
      <c r="AA598" s="187">
        <v>250</v>
      </c>
      <c r="AB598" s="124">
        <v>299</v>
      </c>
      <c r="AC598" s="187"/>
      <c r="AD598" s="195">
        <v>1.8</v>
      </c>
      <c r="AE598" s="196">
        <v>4.2</v>
      </c>
      <c r="AF598" s="263" t="str">
        <f>MID(Tabelle2[[#This Row],[bnr full]],1,4)</f>
        <v>F151</v>
      </c>
      <c r="AG598" s="264" t="str">
        <f>MID(Tabelle2[[#This Row],[bnr full]],5,3)</f>
        <v>147</v>
      </c>
      <c r="AH598" s="265" t="str">
        <f>MID(Tabelle2[[#This Row],[bnr full]],8,3)</f>
        <v>798</v>
      </c>
      <c r="AI598" s="264" t="str">
        <f>MID(Tabelle2[[#This Row],[bnr full]],11,3)</f>
        <v>201</v>
      </c>
      <c r="AJ598" s="252" t="str">
        <f>MID(Tabelle2[[#This Row],[bnr full]],11,3)</f>
        <v>201</v>
      </c>
      <c r="AK598" s="197" t="s">
        <v>1668</v>
      </c>
      <c r="AL598" s="124" t="str">
        <f ca="1">Sprache!$A$111</f>
        <v>Комплект (Л + П)</v>
      </c>
      <c r="AM598" s="187" t="s">
        <v>25</v>
      </c>
      <c r="AN598" s="187" t="str">
        <f ca="1">Sprache!$A$130</f>
        <v>Пружина, желтая, двусторонняя</v>
      </c>
      <c r="AO598" s="187" t="s">
        <v>25</v>
      </c>
      <c r="AP598" s="187" t="s">
        <v>25</v>
      </c>
      <c r="AQ598" s="187">
        <f>Limits!$K$9</f>
        <v>200</v>
      </c>
      <c r="AR598" s="124">
        <v>1200</v>
      </c>
      <c r="AS598" s="187"/>
      <c r="AT598" s="124"/>
      <c r="AV598"/>
      <c r="AX598" s="10"/>
      <c r="AY598" s="11"/>
      <c r="AZ598" s="2"/>
      <c r="BC598"/>
    </row>
    <row r="599" spans="1:55" hidden="1" x14ac:dyDescent="0.25">
      <c r="A599" s="12" t="str">
        <f ca="1">IF(F599+G599+H599+I599+J599+D599+E599=3,IF(Tabelle2[[#This Row],[Kappe Weiß]]=Limits!$R$29,1,""),"")</f>
        <v/>
      </c>
      <c r="B599" s="12" t="str">
        <f ca="1">IF(G599+H599+I599+J599+E599+F599=2,IF(Tabelle2[[#This Row],[Kappe Weiß]]=Limits!$R$29,1,""),"")</f>
        <v/>
      </c>
      <c r="C599" s="291">
        <v>1</v>
      </c>
      <c r="D599" s="171">
        <f>IF(Limits!$P$6=TRUE,1,0)</f>
        <v>0</v>
      </c>
      <c r="E599" s="172">
        <f>IF(Daten!$P599+Daten!$Q599+Daten!$S599=3,1,0)</f>
        <v>0</v>
      </c>
      <c r="F599" s="173">
        <f ca="1">IF(AND(Limits!$Q$21=TRUE,Daten!O599=1)=TRUE,1,0)</f>
        <v>0</v>
      </c>
      <c r="G599" s="174">
        <f>IF(AND(Limits!$Q$25=TRUE,Daten!N599=1)=TRUE,1,0)</f>
        <v>0</v>
      </c>
      <c r="H599" s="174">
        <f>IF(AND(Limits!$Q$24=TRUE,Daten!M599=1)=TRUE,1,0)</f>
        <v>0</v>
      </c>
      <c r="I599" s="174">
        <f>IF(AND(Limits!$Q$23=TRUE,Daten!L599=1)=TRUE,1,0)</f>
        <v>0</v>
      </c>
      <c r="J599" s="174">
        <f>IF(AND(Limits!$Q$22=TRUE,Daten!K599=1)=TRUE,1,0)</f>
        <v>0</v>
      </c>
      <c r="K599" s="188">
        <f>IF(Daten!$V599=13,1,0)</f>
        <v>1</v>
      </c>
      <c r="L599" s="189">
        <f>IF(Daten!$V599&lt;&gt;Daten!$W599,1,IF(Daten!$V599=14,1,0))</f>
        <v>0</v>
      </c>
      <c r="M599" s="189">
        <f>IF(Daten!$V599&lt;&gt;Daten!$W599,1,IF(Daten!$V599=16,1,0))</f>
        <v>0</v>
      </c>
      <c r="N599" s="189">
        <f>IF(Daten!$W599=17,1,0)</f>
        <v>0</v>
      </c>
      <c r="O599" s="190">
        <f ca="1">IF(Daten!$X599=Sprache!$A$70,1,0)</f>
        <v>0</v>
      </c>
      <c r="P599" s="191">
        <f>IF(AND(Daten!$AQ599&lt;=KINVARO!$AW$3,Daten!$AR599&gt;=KINVARO!$AW$3)=TRUE,1,0)</f>
        <v>1</v>
      </c>
      <c r="Q599" s="192">
        <f>IF(AND(Daten!$AA599&lt;=KINVARO!$AW$4,Daten!$AB599&gt;=KINVARO!$AW$4)=TRUE,1,0)</f>
        <v>0</v>
      </c>
      <c r="R599" s="192"/>
      <c r="S599" s="192">
        <f>IF(AND(Daten!$AD599&lt;=Limits!$I$70,Daten!$AE599&gt;=Limits!$I$70)=TRUE,1,0)</f>
        <v>0</v>
      </c>
      <c r="T599" s="193">
        <f ca="1">IF(Daten!$Y599=Sprache!$A$135,1,0)</f>
        <v>0</v>
      </c>
      <c r="U599" s="124" t="str">
        <f ca="1">Sprache!$A$68</f>
        <v>T-65 Поворотный подъемник</v>
      </c>
      <c r="V599" s="194">
        <v>13</v>
      </c>
      <c r="W599" s="193">
        <v>13</v>
      </c>
      <c r="X599" s="187" t="str">
        <f ca="1">Sprache!$A$141</f>
        <v>Alu</v>
      </c>
      <c r="Y599" s="187" t="str">
        <f ca="1">Sprache!$A$136</f>
        <v>nein</v>
      </c>
      <c r="Z599" s="187" t="str">
        <f ca="1">Sprache!$A$79</f>
        <v>Створка</v>
      </c>
      <c r="AA599" s="187">
        <v>250</v>
      </c>
      <c r="AB599" s="124">
        <v>299</v>
      </c>
      <c r="AC599" s="187"/>
      <c r="AD599" s="195">
        <v>2.4</v>
      </c>
      <c r="AE599" s="196">
        <v>7.4</v>
      </c>
      <c r="AF599" s="263" t="str">
        <f>MID(Tabelle2[[#This Row],[bnr full]],1,4)</f>
        <v>F151</v>
      </c>
      <c r="AG599" s="264" t="str">
        <f>MID(Tabelle2[[#This Row],[bnr full]],5,3)</f>
        <v>147</v>
      </c>
      <c r="AH599" s="265" t="str">
        <f>MID(Tabelle2[[#This Row],[bnr full]],8,3)</f>
        <v>798</v>
      </c>
      <c r="AI599" s="264" t="str">
        <f>MID(Tabelle2[[#This Row],[bnr full]],11,3)</f>
        <v>201</v>
      </c>
      <c r="AJ599" s="252" t="str">
        <f>MID(Tabelle2[[#This Row],[bnr full]],11,3)</f>
        <v>201</v>
      </c>
      <c r="AK599" s="197" t="s">
        <v>1668</v>
      </c>
      <c r="AL599" s="124" t="str">
        <f ca="1">Sprache!$A$111</f>
        <v>Комплект (Л + П)</v>
      </c>
      <c r="AM599" s="187" t="s">
        <v>25</v>
      </c>
      <c r="AN599" s="187" t="str">
        <f ca="1">Sprache!$A$131</f>
        <v>Пружина, черная, двусторонняя</v>
      </c>
      <c r="AO599" s="187" t="s">
        <v>25</v>
      </c>
      <c r="AP599" s="187" t="s">
        <v>25</v>
      </c>
      <c r="AQ599" s="187">
        <f>Limits!$K$9</f>
        <v>200</v>
      </c>
      <c r="AR599" s="124">
        <v>1200</v>
      </c>
      <c r="AS599" s="187"/>
      <c r="AT599" s="124"/>
      <c r="AV599"/>
      <c r="AX599" s="10"/>
      <c r="AY599" s="11"/>
      <c r="AZ599" s="2"/>
      <c r="BC599"/>
    </row>
    <row r="600" spans="1:55" hidden="1" x14ac:dyDescent="0.25">
      <c r="A600" s="12" t="str">
        <f ca="1">IF(F600+G600+H600+I600+J600+D600+E600=3,IF(Tabelle2[[#This Row],[Kappe Weiß]]=Limits!$R$29,1,""),"")</f>
        <v/>
      </c>
      <c r="B600" s="12" t="str">
        <f ca="1">IF(G600+H600+I600+J600+E600+F600=2,IF(Tabelle2[[#This Row],[Kappe Weiß]]=Limits!$R$29,1,""),"")</f>
        <v/>
      </c>
      <c r="C600" s="291">
        <v>1</v>
      </c>
      <c r="D600" s="171">
        <f>IF(Limits!$P$6=TRUE,1,0)</f>
        <v>0</v>
      </c>
      <c r="E600" s="172">
        <f>IF(Daten!$P600+Daten!$Q600+Daten!$S600=3,1,0)</f>
        <v>0</v>
      </c>
      <c r="F600" s="173">
        <f ca="1">IF(AND(Limits!$Q$21=TRUE,Daten!O600=1)=TRUE,1,0)</f>
        <v>0</v>
      </c>
      <c r="G600" s="174">
        <f>IF(AND(Limits!$Q$25=TRUE,Daten!N600=1)=TRUE,1,0)</f>
        <v>0</v>
      </c>
      <c r="H600" s="174">
        <f>IF(AND(Limits!$Q$24=TRUE,Daten!M600=1)=TRUE,1,0)</f>
        <v>0</v>
      </c>
      <c r="I600" s="174">
        <f>IF(AND(Limits!$Q$23=TRUE,Daten!L600=1)=TRUE,1,0)</f>
        <v>0</v>
      </c>
      <c r="J600" s="174">
        <f>IF(AND(Limits!$Q$22=TRUE,Daten!K600=1)=TRUE,1,0)</f>
        <v>0</v>
      </c>
      <c r="K600" s="188">
        <f>IF(Daten!$V600=13,1,0)</f>
        <v>0</v>
      </c>
      <c r="L600" s="189">
        <f>IF(Daten!$V600&lt;&gt;Daten!$W600,1,IF(Daten!$V600=14,1,0))</f>
        <v>1</v>
      </c>
      <c r="M600" s="189">
        <f>IF(Daten!$V600&lt;&gt;Daten!$W600,1,IF(Daten!$V600=16,1,0))</f>
        <v>0</v>
      </c>
      <c r="N600" s="189">
        <f>IF(Daten!$W600=17,1,0)</f>
        <v>0</v>
      </c>
      <c r="O600" s="190">
        <f ca="1">IF(Daten!$X600=Sprache!$A$70,1,0)</f>
        <v>0</v>
      </c>
      <c r="P600" s="191">
        <f>IF(AND(Daten!$AQ600&lt;=KINVARO!$AW$3,Daten!$AR600&gt;=KINVARO!$AW$3)=TRUE,1,0)</f>
        <v>1</v>
      </c>
      <c r="Q600" s="192">
        <f>IF(AND(Daten!$AA600&lt;=KINVARO!$AW$4,Daten!$AB600&gt;=KINVARO!$AW$4)=TRUE,1,0)</f>
        <v>0</v>
      </c>
      <c r="R600" s="192"/>
      <c r="S600" s="192">
        <f>IF(AND(Daten!$AD600&lt;=Limits!$I$70,Daten!$AE600&gt;=Limits!$I$70)=TRUE,1,0)</f>
        <v>0</v>
      </c>
      <c r="T600" s="193">
        <f ca="1">IF(Daten!$Y600=Sprache!$A$135,1,0)</f>
        <v>0</v>
      </c>
      <c r="U600" s="124" t="str">
        <f ca="1">Sprache!$A$68</f>
        <v>T-65 Поворотный подъемник</v>
      </c>
      <c r="V600" s="194">
        <v>14</v>
      </c>
      <c r="W600" s="193">
        <v>14</v>
      </c>
      <c r="X600" s="187" t="str">
        <f ca="1">Sprache!$A$141</f>
        <v>Alu</v>
      </c>
      <c r="Y600" s="187" t="str">
        <f ca="1">Sprache!$A$136</f>
        <v>nein</v>
      </c>
      <c r="Z600" s="187" t="str">
        <f ca="1">Sprache!$A$79</f>
        <v>Створка</v>
      </c>
      <c r="AA600" s="187">
        <v>250</v>
      </c>
      <c r="AB600" s="124">
        <v>299</v>
      </c>
      <c r="AC600" s="187"/>
      <c r="AD600" s="195">
        <v>0.9</v>
      </c>
      <c r="AE600" s="196">
        <v>2.1</v>
      </c>
      <c r="AF600" s="263" t="str">
        <f>MID(Tabelle2[[#This Row],[bnr full]],1,4)</f>
        <v>F151</v>
      </c>
      <c r="AG600" s="264" t="str">
        <f>MID(Tabelle2[[#This Row],[bnr full]],5,3)</f>
        <v>147</v>
      </c>
      <c r="AH600" s="265" t="str">
        <f>MID(Tabelle2[[#This Row],[bnr full]],8,3)</f>
        <v>799</v>
      </c>
      <c r="AI600" s="264" t="str">
        <f>MID(Tabelle2[[#This Row],[bnr full]],11,3)</f>
        <v>201</v>
      </c>
      <c r="AJ600" s="252" t="str">
        <f>MID(Tabelle2[[#This Row],[bnr full]],11,3)</f>
        <v>201</v>
      </c>
      <c r="AK600" s="197" t="s">
        <v>1669</v>
      </c>
      <c r="AL600" s="124" t="str">
        <f ca="1">Sprache!$A$111</f>
        <v>Комплект (Л + П)</v>
      </c>
      <c r="AM600" s="187" t="s">
        <v>25</v>
      </c>
      <c r="AN600" s="187" t="str">
        <f ca="1">Sprache!$A$129</f>
        <v>Пружина, желтая, односторонняя</v>
      </c>
      <c r="AO600" s="187" t="s">
        <v>25</v>
      </c>
      <c r="AP600" s="187" t="s">
        <v>25</v>
      </c>
      <c r="AQ600" s="187">
        <f>Limits!$K$9</f>
        <v>200</v>
      </c>
      <c r="AR600" s="124">
        <v>1200</v>
      </c>
      <c r="AS600" s="187"/>
      <c r="AT600" s="124"/>
      <c r="AV600"/>
      <c r="AX600" s="10"/>
      <c r="AY600" s="11"/>
      <c r="AZ600" s="2"/>
      <c r="BC600"/>
    </row>
    <row r="601" spans="1:55" hidden="1" x14ac:dyDescent="0.25">
      <c r="A601" s="12" t="str">
        <f ca="1">IF(F601+G601+H601+I601+J601+D601+E601=3,IF(Tabelle2[[#This Row],[Kappe Weiß]]=Limits!$R$29,1,""),"")</f>
        <v/>
      </c>
      <c r="B601" s="12" t="str">
        <f ca="1">IF(G601+H601+I601+J601+E601+F601=2,IF(Tabelle2[[#This Row],[Kappe Weiß]]=Limits!$R$29,1,""),"")</f>
        <v/>
      </c>
      <c r="C601" s="291">
        <v>1</v>
      </c>
      <c r="D601" s="171">
        <f>IF(Limits!$P$6=TRUE,1,0)</f>
        <v>0</v>
      </c>
      <c r="E601" s="172">
        <f>IF(Daten!$P601+Daten!$Q601+Daten!$S601=3,1,0)</f>
        <v>0</v>
      </c>
      <c r="F601" s="173">
        <f ca="1">IF(AND(Limits!$Q$21=TRUE,Daten!O601=1)=TRUE,1,0)</f>
        <v>0</v>
      </c>
      <c r="G601" s="174">
        <f>IF(AND(Limits!$Q$25=TRUE,Daten!N601=1)=TRUE,1,0)</f>
        <v>0</v>
      </c>
      <c r="H601" s="174">
        <f>IF(AND(Limits!$Q$24=TRUE,Daten!M601=1)=TRUE,1,0)</f>
        <v>0</v>
      </c>
      <c r="I601" s="174">
        <f>IF(AND(Limits!$Q$23=TRUE,Daten!L601=1)=TRUE,1,0)</f>
        <v>0</v>
      </c>
      <c r="J601" s="174">
        <f>IF(AND(Limits!$Q$22=TRUE,Daten!K601=1)=TRUE,1,0)</f>
        <v>0</v>
      </c>
      <c r="K601" s="188">
        <f>IF(Daten!$V601=13,1,0)</f>
        <v>0</v>
      </c>
      <c r="L601" s="189">
        <f>IF(Daten!$V601&lt;&gt;Daten!$W601,1,IF(Daten!$V601=14,1,0))</f>
        <v>1</v>
      </c>
      <c r="M601" s="189">
        <f>IF(Daten!$V601&lt;&gt;Daten!$W601,1,IF(Daten!$V601=16,1,0))</f>
        <v>0</v>
      </c>
      <c r="N601" s="189">
        <f>IF(Daten!$W601=17,1,0)</f>
        <v>0</v>
      </c>
      <c r="O601" s="190">
        <f ca="1">IF(Daten!$X601=Sprache!$A$70,1,0)</f>
        <v>0</v>
      </c>
      <c r="P601" s="191">
        <f>IF(AND(Daten!$AQ601&lt;=KINVARO!$AW$3,Daten!$AR601&gt;=KINVARO!$AW$3)=TRUE,1,0)</f>
        <v>1</v>
      </c>
      <c r="Q601" s="192">
        <f>IF(AND(Daten!$AA601&lt;=KINVARO!$AW$4,Daten!$AB601&gt;=KINVARO!$AW$4)=TRUE,1,0)</f>
        <v>0</v>
      </c>
      <c r="R601" s="192"/>
      <c r="S601" s="192">
        <f>IF(AND(Daten!$AD601&lt;=Limits!$I$70,Daten!$AE601&gt;=Limits!$I$70)=TRUE,1,0)</f>
        <v>0</v>
      </c>
      <c r="T601" s="193">
        <f ca="1">IF(Daten!$Y601=Sprache!$A$135,1,0)</f>
        <v>0</v>
      </c>
      <c r="U601" s="124" t="str">
        <f ca="1">Sprache!$A$68</f>
        <v>T-65 Поворотный подъемник</v>
      </c>
      <c r="V601" s="194">
        <v>14</v>
      </c>
      <c r="W601" s="193">
        <v>14</v>
      </c>
      <c r="X601" s="187" t="str">
        <f ca="1">Sprache!$A$141</f>
        <v>Alu</v>
      </c>
      <c r="Y601" s="187" t="str">
        <f ca="1">Sprache!$A$136</f>
        <v>nein</v>
      </c>
      <c r="Z601" s="187" t="str">
        <f ca="1">Sprache!$A$79</f>
        <v>Створка</v>
      </c>
      <c r="AA601" s="187">
        <v>250</v>
      </c>
      <c r="AB601" s="124">
        <v>299</v>
      </c>
      <c r="AC601" s="187"/>
      <c r="AD601" s="195">
        <v>1.8</v>
      </c>
      <c r="AE601" s="196">
        <v>4.2</v>
      </c>
      <c r="AF601" s="263" t="str">
        <f>MID(Tabelle2[[#This Row],[bnr full]],1,4)</f>
        <v>F151</v>
      </c>
      <c r="AG601" s="264" t="str">
        <f>MID(Tabelle2[[#This Row],[bnr full]],5,3)</f>
        <v>147</v>
      </c>
      <c r="AH601" s="265" t="str">
        <f>MID(Tabelle2[[#This Row],[bnr full]],8,3)</f>
        <v>799</v>
      </c>
      <c r="AI601" s="264" t="str">
        <f>MID(Tabelle2[[#This Row],[bnr full]],11,3)</f>
        <v>201</v>
      </c>
      <c r="AJ601" s="252" t="str">
        <f>MID(Tabelle2[[#This Row],[bnr full]],11,3)</f>
        <v>201</v>
      </c>
      <c r="AK601" s="197" t="s">
        <v>1669</v>
      </c>
      <c r="AL601" s="124" t="str">
        <f ca="1">Sprache!$A$111</f>
        <v>Комплект (Л + П)</v>
      </c>
      <c r="AM601" s="187" t="s">
        <v>25</v>
      </c>
      <c r="AN601" s="187" t="str">
        <f ca="1">Sprache!$A$130</f>
        <v>Пружина, желтая, двусторонняя</v>
      </c>
      <c r="AO601" s="187" t="s">
        <v>25</v>
      </c>
      <c r="AP601" s="187" t="s">
        <v>25</v>
      </c>
      <c r="AQ601" s="187">
        <f>Limits!$K$9</f>
        <v>200</v>
      </c>
      <c r="AR601" s="124">
        <v>1200</v>
      </c>
      <c r="AS601" s="187"/>
      <c r="AT601" s="124"/>
      <c r="AV601"/>
      <c r="AX601" s="10"/>
      <c r="AY601" s="11"/>
      <c r="AZ601" s="2"/>
      <c r="BC601"/>
    </row>
    <row r="602" spans="1:55" hidden="1" x14ac:dyDescent="0.25">
      <c r="A602" s="12" t="str">
        <f ca="1">IF(F602+G602+H602+I602+J602+D602+E602=3,IF(Tabelle2[[#This Row],[Kappe Weiß]]=Limits!$R$29,1,""),"")</f>
        <v/>
      </c>
      <c r="B602" s="12" t="str">
        <f ca="1">IF(G602+H602+I602+J602+E602+F602=2,IF(Tabelle2[[#This Row],[Kappe Weiß]]=Limits!$R$29,1,""),"")</f>
        <v/>
      </c>
      <c r="C602" s="291">
        <v>1</v>
      </c>
      <c r="D602" s="171">
        <f>IF(Limits!$P$6=TRUE,1,0)</f>
        <v>0</v>
      </c>
      <c r="E602" s="172">
        <f>IF(Daten!$P602+Daten!$Q602+Daten!$S602=3,1,0)</f>
        <v>0</v>
      </c>
      <c r="F602" s="173">
        <f ca="1">IF(AND(Limits!$Q$21=TRUE,Daten!O602=1)=TRUE,1,0)</f>
        <v>0</v>
      </c>
      <c r="G602" s="174">
        <f>IF(AND(Limits!$Q$25=TRUE,Daten!N602=1)=TRUE,1,0)</f>
        <v>0</v>
      </c>
      <c r="H602" s="174">
        <f>IF(AND(Limits!$Q$24=TRUE,Daten!M602=1)=TRUE,1,0)</f>
        <v>0</v>
      </c>
      <c r="I602" s="174">
        <f>IF(AND(Limits!$Q$23=TRUE,Daten!L602=1)=TRUE,1,0)</f>
        <v>0</v>
      </c>
      <c r="J602" s="174">
        <f>IF(AND(Limits!$Q$22=TRUE,Daten!K602=1)=TRUE,1,0)</f>
        <v>0</v>
      </c>
      <c r="K602" s="188">
        <f>IF(Daten!$V602=13,1,0)</f>
        <v>0</v>
      </c>
      <c r="L602" s="189">
        <f>IF(Daten!$V602&lt;&gt;Daten!$W602,1,IF(Daten!$V602=14,1,0))</f>
        <v>1</v>
      </c>
      <c r="M602" s="189">
        <f>IF(Daten!$V602&lt;&gt;Daten!$W602,1,IF(Daten!$V602=16,1,0))</f>
        <v>0</v>
      </c>
      <c r="N602" s="189">
        <f>IF(Daten!$W602=17,1,0)</f>
        <v>0</v>
      </c>
      <c r="O602" s="190">
        <f ca="1">IF(Daten!$X602=Sprache!$A$70,1,0)</f>
        <v>0</v>
      </c>
      <c r="P602" s="191">
        <f>IF(AND(Daten!$AQ602&lt;=KINVARO!$AW$3,Daten!$AR602&gt;=KINVARO!$AW$3)=TRUE,1,0)</f>
        <v>1</v>
      </c>
      <c r="Q602" s="192">
        <f>IF(AND(Daten!$AA602&lt;=KINVARO!$AW$4,Daten!$AB602&gt;=KINVARO!$AW$4)=TRUE,1,0)</f>
        <v>0</v>
      </c>
      <c r="R602" s="192"/>
      <c r="S602" s="192">
        <f>IF(AND(Daten!$AD602&lt;=Limits!$I$70,Daten!$AE602&gt;=Limits!$I$70)=TRUE,1,0)</f>
        <v>0</v>
      </c>
      <c r="T602" s="193">
        <f ca="1">IF(Daten!$Y602=Sprache!$A$135,1,0)</f>
        <v>0</v>
      </c>
      <c r="U602" s="124" t="str">
        <f ca="1">Sprache!$A$68</f>
        <v>T-65 Поворотный подъемник</v>
      </c>
      <c r="V602" s="194">
        <v>14</v>
      </c>
      <c r="W602" s="193">
        <v>14</v>
      </c>
      <c r="X602" s="187" t="str">
        <f ca="1">Sprache!$A$141</f>
        <v>Alu</v>
      </c>
      <c r="Y602" s="187" t="str">
        <f ca="1">Sprache!$A$136</f>
        <v>nein</v>
      </c>
      <c r="Z602" s="187" t="str">
        <f ca="1">Sprache!$A$79</f>
        <v>Створка</v>
      </c>
      <c r="AA602" s="187">
        <v>250</v>
      </c>
      <c r="AB602" s="124">
        <v>299</v>
      </c>
      <c r="AC602" s="187"/>
      <c r="AD602" s="195">
        <v>2.4</v>
      </c>
      <c r="AE602" s="196">
        <v>7.4</v>
      </c>
      <c r="AF602" s="263" t="str">
        <f>MID(Tabelle2[[#This Row],[bnr full]],1,4)</f>
        <v>F151</v>
      </c>
      <c r="AG602" s="264" t="str">
        <f>MID(Tabelle2[[#This Row],[bnr full]],5,3)</f>
        <v>147</v>
      </c>
      <c r="AH602" s="265" t="str">
        <f>MID(Tabelle2[[#This Row],[bnr full]],8,3)</f>
        <v>799</v>
      </c>
      <c r="AI602" s="264" t="str">
        <f>MID(Tabelle2[[#This Row],[bnr full]],11,3)</f>
        <v>201</v>
      </c>
      <c r="AJ602" s="252" t="str">
        <f>MID(Tabelle2[[#This Row],[bnr full]],11,3)</f>
        <v>201</v>
      </c>
      <c r="AK602" s="197" t="s">
        <v>1669</v>
      </c>
      <c r="AL602" s="124" t="str">
        <f ca="1">Sprache!$A$111</f>
        <v>Комплект (Л + П)</v>
      </c>
      <c r="AM602" s="187" t="s">
        <v>25</v>
      </c>
      <c r="AN602" s="187" t="str">
        <f ca="1">Sprache!$A$131</f>
        <v>Пружина, черная, двусторонняя</v>
      </c>
      <c r="AO602" s="187" t="s">
        <v>25</v>
      </c>
      <c r="AP602" s="187" t="s">
        <v>25</v>
      </c>
      <c r="AQ602" s="187">
        <f>Limits!$K$9</f>
        <v>200</v>
      </c>
      <c r="AR602" s="124">
        <v>1200</v>
      </c>
      <c r="AS602" s="187"/>
      <c r="AT602" s="124"/>
      <c r="AV602"/>
      <c r="AX602" s="10"/>
      <c r="AY602" s="11"/>
      <c r="AZ602" s="2"/>
      <c r="BC602"/>
    </row>
    <row r="603" spans="1:55" hidden="1" x14ac:dyDescent="0.25">
      <c r="A603" s="12" t="str">
        <f ca="1">IF(F603+G603+H603+I603+J603+D603+E603=3,IF(Tabelle2[[#This Row],[Kappe Weiß]]=Limits!$R$29,1,""),"")</f>
        <v/>
      </c>
      <c r="B603" s="12" t="str">
        <f ca="1">IF(G603+H603+I603+J603+E603+F603=2,IF(Tabelle2[[#This Row],[Kappe Weiß]]=Limits!$R$29,1,""),"")</f>
        <v/>
      </c>
      <c r="C603" s="291">
        <v>1</v>
      </c>
      <c r="D603" s="171">
        <f>IF(Limits!$P$6=TRUE,1,0)</f>
        <v>0</v>
      </c>
      <c r="E603" s="172">
        <f>IF(Daten!$P603+Daten!$Q603+Daten!$S603=3,1,0)</f>
        <v>0</v>
      </c>
      <c r="F603" s="173">
        <f ca="1">IF(AND(Limits!$Q$21=TRUE,Daten!O603=1)=TRUE,1,0)</f>
        <v>0</v>
      </c>
      <c r="G603" s="174">
        <f>IF(AND(Limits!$Q$25=TRUE,Daten!N603=1)=TRUE,1,0)</f>
        <v>0</v>
      </c>
      <c r="H603" s="174">
        <f>IF(AND(Limits!$Q$24=TRUE,Daten!M603=1)=TRUE,1,0)</f>
        <v>0</v>
      </c>
      <c r="I603" s="174">
        <f>IF(AND(Limits!$Q$23=TRUE,Daten!L603=1)=TRUE,1,0)</f>
        <v>0</v>
      </c>
      <c r="J603" s="174">
        <f>IF(AND(Limits!$Q$22=TRUE,Daten!K603=1)=TRUE,1,0)</f>
        <v>0</v>
      </c>
      <c r="K603" s="188">
        <f>IF(Daten!$V603=13,1,0)</f>
        <v>0</v>
      </c>
      <c r="L603" s="189">
        <f>IF(Daten!$V603&lt;&gt;Daten!$W603,1,IF(Daten!$V603=14,1,0))</f>
        <v>0</v>
      </c>
      <c r="M603" s="189">
        <f>IF(Daten!$V603&lt;&gt;Daten!$W603,1,IF(Daten!$V603=16,1,0))</f>
        <v>1</v>
      </c>
      <c r="N603" s="189">
        <f>IF(Daten!$W603=17,1,0)</f>
        <v>0</v>
      </c>
      <c r="O603" s="190">
        <f ca="1">IF(Daten!$X603=Sprache!$A$70,1,0)</f>
        <v>0</v>
      </c>
      <c r="P603" s="191">
        <f>IF(AND(Daten!$AQ603&lt;=KINVARO!$AW$3,Daten!$AR603&gt;=KINVARO!$AW$3)=TRUE,1,0)</f>
        <v>1</v>
      </c>
      <c r="Q603" s="192">
        <f>IF(AND(Daten!$AA603&lt;=KINVARO!$AW$4,Daten!$AB603&gt;=KINVARO!$AW$4)=TRUE,1,0)</f>
        <v>0</v>
      </c>
      <c r="R603" s="192"/>
      <c r="S603" s="192">
        <f>IF(AND(Daten!$AD603&lt;=Limits!$I$70,Daten!$AE603&gt;=Limits!$I$70)=TRUE,1,0)</f>
        <v>0</v>
      </c>
      <c r="T603" s="193">
        <f ca="1">IF(Daten!$Y603=Sprache!$A$135,1,0)</f>
        <v>0</v>
      </c>
      <c r="U603" s="124" t="str">
        <f ca="1">Sprache!$A$68</f>
        <v>T-65 Поворотный подъемник</v>
      </c>
      <c r="V603" s="194">
        <v>16</v>
      </c>
      <c r="W603" s="193">
        <v>16</v>
      </c>
      <c r="X603" s="187" t="str">
        <f ca="1">Sprache!$A$141</f>
        <v>Alu</v>
      </c>
      <c r="Y603" s="187" t="str">
        <f ca="1">Sprache!$A$136</f>
        <v>nein</v>
      </c>
      <c r="Z603" s="187" t="str">
        <f ca="1">Sprache!$A$79</f>
        <v>Створка</v>
      </c>
      <c r="AA603" s="187">
        <v>250</v>
      </c>
      <c r="AB603" s="124">
        <v>299</v>
      </c>
      <c r="AC603" s="187"/>
      <c r="AD603" s="195">
        <v>0.9</v>
      </c>
      <c r="AE603" s="196">
        <v>2.1</v>
      </c>
      <c r="AF603" s="263" t="str">
        <f>MID(Tabelle2[[#This Row],[bnr full]],1,4)</f>
        <v>F151</v>
      </c>
      <c r="AG603" s="264" t="str">
        <f>MID(Tabelle2[[#This Row],[bnr full]],5,3)</f>
        <v>147</v>
      </c>
      <c r="AH603" s="265" t="str">
        <f>MID(Tabelle2[[#This Row],[bnr full]],8,3)</f>
        <v>800</v>
      </c>
      <c r="AI603" s="264" t="str">
        <f>MID(Tabelle2[[#This Row],[bnr full]],11,3)</f>
        <v>201</v>
      </c>
      <c r="AJ603" s="252" t="str">
        <f>MID(Tabelle2[[#This Row],[bnr full]],11,3)</f>
        <v>201</v>
      </c>
      <c r="AK603" s="197" t="s">
        <v>1670</v>
      </c>
      <c r="AL603" s="124" t="str">
        <f ca="1">Sprache!$A$111</f>
        <v>Комплект (Л + П)</v>
      </c>
      <c r="AM603" s="187" t="s">
        <v>25</v>
      </c>
      <c r="AN603" s="187" t="str">
        <f ca="1">Sprache!$A$129</f>
        <v>Пружина, желтая, односторонняя</v>
      </c>
      <c r="AO603" s="187" t="s">
        <v>25</v>
      </c>
      <c r="AP603" s="187" t="s">
        <v>25</v>
      </c>
      <c r="AQ603" s="187">
        <f>Limits!$K$9</f>
        <v>200</v>
      </c>
      <c r="AR603" s="124">
        <v>1200</v>
      </c>
      <c r="AS603" s="187"/>
      <c r="AT603" s="124"/>
      <c r="AV603"/>
      <c r="AX603" s="10"/>
      <c r="AY603" s="11"/>
      <c r="AZ603" s="2"/>
      <c r="BC603"/>
    </row>
    <row r="604" spans="1:55" hidden="1" x14ac:dyDescent="0.25">
      <c r="A604" s="12" t="str">
        <f ca="1">IF(F604+G604+H604+I604+J604+D604+E604=3,IF(Tabelle2[[#This Row],[Kappe Weiß]]=Limits!$R$29,1,""),"")</f>
        <v/>
      </c>
      <c r="B604" s="12" t="str">
        <f ca="1">IF(G604+H604+I604+J604+E604+F604=2,IF(Tabelle2[[#This Row],[Kappe Weiß]]=Limits!$R$29,1,""),"")</f>
        <v/>
      </c>
      <c r="C604" s="291">
        <v>1</v>
      </c>
      <c r="D604" s="171">
        <f>IF(Limits!$P$6=TRUE,1,0)</f>
        <v>0</v>
      </c>
      <c r="E604" s="172">
        <f>IF(Daten!$P604+Daten!$Q604+Daten!$S604=3,1,0)</f>
        <v>0</v>
      </c>
      <c r="F604" s="173">
        <f ca="1">IF(AND(Limits!$Q$21=TRUE,Daten!O604=1)=TRUE,1,0)</f>
        <v>0</v>
      </c>
      <c r="G604" s="174">
        <f>IF(AND(Limits!$Q$25=TRUE,Daten!N604=1)=TRUE,1,0)</f>
        <v>0</v>
      </c>
      <c r="H604" s="174">
        <f>IF(AND(Limits!$Q$24=TRUE,Daten!M604=1)=TRUE,1,0)</f>
        <v>0</v>
      </c>
      <c r="I604" s="174">
        <f>IF(AND(Limits!$Q$23=TRUE,Daten!L604=1)=TRUE,1,0)</f>
        <v>0</v>
      </c>
      <c r="J604" s="174">
        <f>IF(AND(Limits!$Q$22=TRUE,Daten!K604=1)=TRUE,1,0)</f>
        <v>0</v>
      </c>
      <c r="K604" s="188">
        <f>IF(Daten!$V604=13,1,0)</f>
        <v>0</v>
      </c>
      <c r="L604" s="189">
        <f>IF(Daten!$V604&lt;&gt;Daten!$W604,1,IF(Daten!$V604=14,1,0))</f>
        <v>0</v>
      </c>
      <c r="M604" s="189">
        <f>IF(Daten!$V604&lt;&gt;Daten!$W604,1,IF(Daten!$V604=16,1,0))</f>
        <v>1</v>
      </c>
      <c r="N604" s="189">
        <f>IF(Daten!$W604=17,1,0)</f>
        <v>0</v>
      </c>
      <c r="O604" s="190">
        <f ca="1">IF(Daten!$X604=Sprache!$A$70,1,0)</f>
        <v>0</v>
      </c>
      <c r="P604" s="191">
        <f>IF(AND(Daten!$AQ604&lt;=KINVARO!$AW$3,Daten!$AR604&gt;=KINVARO!$AW$3)=TRUE,1,0)</f>
        <v>1</v>
      </c>
      <c r="Q604" s="192">
        <f>IF(AND(Daten!$AA604&lt;=KINVARO!$AW$4,Daten!$AB604&gt;=KINVARO!$AW$4)=TRUE,1,0)</f>
        <v>0</v>
      </c>
      <c r="R604" s="192"/>
      <c r="S604" s="192">
        <f>IF(AND(Daten!$AD604&lt;=Limits!$I$70,Daten!$AE604&gt;=Limits!$I$70)=TRUE,1,0)</f>
        <v>0</v>
      </c>
      <c r="T604" s="193">
        <f ca="1">IF(Daten!$Y604=Sprache!$A$135,1,0)</f>
        <v>0</v>
      </c>
      <c r="U604" s="124" t="str">
        <f ca="1">Sprache!$A$68</f>
        <v>T-65 Поворотный подъемник</v>
      </c>
      <c r="V604" s="194">
        <v>16</v>
      </c>
      <c r="W604" s="193">
        <v>16</v>
      </c>
      <c r="X604" s="187" t="str">
        <f ca="1">Sprache!$A$141</f>
        <v>Alu</v>
      </c>
      <c r="Y604" s="187" t="str">
        <f ca="1">Sprache!$A$136</f>
        <v>nein</v>
      </c>
      <c r="Z604" s="187" t="str">
        <f ca="1">Sprache!$A$79</f>
        <v>Створка</v>
      </c>
      <c r="AA604" s="187">
        <v>250</v>
      </c>
      <c r="AB604" s="124">
        <v>299</v>
      </c>
      <c r="AC604" s="187"/>
      <c r="AD604" s="195">
        <v>1.8</v>
      </c>
      <c r="AE604" s="196">
        <v>4.2</v>
      </c>
      <c r="AF604" s="263" t="str">
        <f>MID(Tabelle2[[#This Row],[bnr full]],1,4)</f>
        <v>F151</v>
      </c>
      <c r="AG604" s="264" t="str">
        <f>MID(Tabelle2[[#This Row],[bnr full]],5,3)</f>
        <v>147</v>
      </c>
      <c r="AH604" s="265" t="str">
        <f>MID(Tabelle2[[#This Row],[bnr full]],8,3)</f>
        <v>800</v>
      </c>
      <c r="AI604" s="264" t="str">
        <f>MID(Tabelle2[[#This Row],[bnr full]],11,3)</f>
        <v>201</v>
      </c>
      <c r="AJ604" s="252" t="str">
        <f>MID(Tabelle2[[#This Row],[bnr full]],11,3)</f>
        <v>201</v>
      </c>
      <c r="AK604" s="197" t="s">
        <v>1670</v>
      </c>
      <c r="AL604" s="124" t="str">
        <f ca="1">Sprache!$A$111</f>
        <v>Комплект (Л + П)</v>
      </c>
      <c r="AM604" s="187" t="s">
        <v>25</v>
      </c>
      <c r="AN604" s="187" t="str">
        <f ca="1">Sprache!$A$130</f>
        <v>Пружина, желтая, двусторонняя</v>
      </c>
      <c r="AO604" s="187" t="s">
        <v>25</v>
      </c>
      <c r="AP604" s="187" t="s">
        <v>25</v>
      </c>
      <c r="AQ604" s="187">
        <f>Limits!$K$9</f>
        <v>200</v>
      </c>
      <c r="AR604" s="124">
        <v>1200</v>
      </c>
      <c r="AS604" s="187"/>
      <c r="AT604" s="124"/>
      <c r="AV604"/>
      <c r="AX604" s="10"/>
      <c r="AY604" s="11"/>
      <c r="AZ604" s="2"/>
      <c r="BC604"/>
    </row>
    <row r="605" spans="1:55" hidden="1" x14ac:dyDescent="0.25">
      <c r="A605" s="12" t="str">
        <f ca="1">IF(F605+G605+H605+I605+J605+D605+E605=3,IF(Tabelle2[[#This Row],[Kappe Weiß]]=Limits!$R$29,1,""),"")</f>
        <v/>
      </c>
      <c r="B605" s="12" t="str">
        <f ca="1">IF(G605+H605+I605+J605+E605+F605=2,IF(Tabelle2[[#This Row],[Kappe Weiß]]=Limits!$R$29,1,""),"")</f>
        <v/>
      </c>
      <c r="C605" s="291">
        <v>1</v>
      </c>
      <c r="D605" s="171">
        <f>IF(Limits!$P$6=TRUE,1,0)</f>
        <v>0</v>
      </c>
      <c r="E605" s="172">
        <f>IF(Daten!$P605+Daten!$Q605+Daten!$S605=3,1,0)</f>
        <v>0</v>
      </c>
      <c r="F605" s="173">
        <f ca="1">IF(AND(Limits!$Q$21=TRUE,Daten!O605=1)=TRUE,1,0)</f>
        <v>0</v>
      </c>
      <c r="G605" s="174">
        <f>IF(AND(Limits!$Q$25=TRUE,Daten!N605=1)=TRUE,1,0)</f>
        <v>0</v>
      </c>
      <c r="H605" s="174">
        <f>IF(AND(Limits!$Q$24=TRUE,Daten!M605=1)=TRUE,1,0)</f>
        <v>0</v>
      </c>
      <c r="I605" s="174">
        <f>IF(AND(Limits!$Q$23=TRUE,Daten!L605=1)=TRUE,1,0)</f>
        <v>0</v>
      </c>
      <c r="J605" s="174">
        <f>IF(AND(Limits!$Q$22=TRUE,Daten!K605=1)=TRUE,1,0)</f>
        <v>0</v>
      </c>
      <c r="K605" s="188">
        <f>IF(Daten!$V605=13,1,0)</f>
        <v>0</v>
      </c>
      <c r="L605" s="189">
        <f>IF(Daten!$V605&lt;&gt;Daten!$W605,1,IF(Daten!$V605=14,1,0))</f>
        <v>0</v>
      </c>
      <c r="M605" s="189">
        <f>IF(Daten!$V605&lt;&gt;Daten!$W605,1,IF(Daten!$V605=16,1,0))</f>
        <v>1</v>
      </c>
      <c r="N605" s="189">
        <f>IF(Daten!$W605=17,1,0)</f>
        <v>0</v>
      </c>
      <c r="O605" s="190">
        <f ca="1">IF(Daten!$X605=Sprache!$A$70,1,0)</f>
        <v>0</v>
      </c>
      <c r="P605" s="191">
        <f>IF(AND(Daten!$AQ605&lt;=KINVARO!$AW$3,Daten!$AR605&gt;=KINVARO!$AW$3)=TRUE,1,0)</f>
        <v>1</v>
      </c>
      <c r="Q605" s="192">
        <f>IF(AND(Daten!$AA605&lt;=KINVARO!$AW$4,Daten!$AB605&gt;=KINVARO!$AW$4)=TRUE,1,0)</f>
        <v>0</v>
      </c>
      <c r="R605" s="192"/>
      <c r="S605" s="192">
        <f>IF(AND(Daten!$AD605&lt;=Limits!$I$70,Daten!$AE605&gt;=Limits!$I$70)=TRUE,1,0)</f>
        <v>0</v>
      </c>
      <c r="T605" s="193">
        <f ca="1">IF(Daten!$Y605=Sprache!$A$135,1,0)</f>
        <v>0</v>
      </c>
      <c r="U605" s="124" t="str">
        <f ca="1">Sprache!$A$68</f>
        <v>T-65 Поворотный подъемник</v>
      </c>
      <c r="V605" s="194">
        <v>16</v>
      </c>
      <c r="W605" s="193">
        <v>16</v>
      </c>
      <c r="X605" s="187" t="str">
        <f ca="1">Sprache!$A$141</f>
        <v>Alu</v>
      </c>
      <c r="Y605" s="187" t="str">
        <f ca="1">Sprache!$A$136</f>
        <v>nein</v>
      </c>
      <c r="Z605" s="187" t="str">
        <f ca="1">Sprache!$A$79</f>
        <v>Створка</v>
      </c>
      <c r="AA605" s="187">
        <v>250</v>
      </c>
      <c r="AB605" s="124">
        <v>299</v>
      </c>
      <c r="AC605" s="187"/>
      <c r="AD605" s="195">
        <v>2.4</v>
      </c>
      <c r="AE605" s="196">
        <v>7.4</v>
      </c>
      <c r="AF605" s="263" t="str">
        <f>MID(Tabelle2[[#This Row],[bnr full]],1,4)</f>
        <v>F151</v>
      </c>
      <c r="AG605" s="264" t="str">
        <f>MID(Tabelle2[[#This Row],[bnr full]],5,3)</f>
        <v>147</v>
      </c>
      <c r="AH605" s="265" t="str">
        <f>MID(Tabelle2[[#This Row],[bnr full]],8,3)</f>
        <v>800</v>
      </c>
      <c r="AI605" s="264" t="str">
        <f>MID(Tabelle2[[#This Row],[bnr full]],11,3)</f>
        <v>201</v>
      </c>
      <c r="AJ605" s="252" t="str">
        <f>MID(Tabelle2[[#This Row],[bnr full]],11,3)</f>
        <v>201</v>
      </c>
      <c r="AK605" s="197" t="s">
        <v>1670</v>
      </c>
      <c r="AL605" s="124" t="str">
        <f ca="1">Sprache!$A$111</f>
        <v>Комплект (Л + П)</v>
      </c>
      <c r="AM605" s="187" t="s">
        <v>25</v>
      </c>
      <c r="AN605" s="187" t="str">
        <f ca="1">Sprache!$A$131</f>
        <v>Пружина, черная, двусторонняя</v>
      </c>
      <c r="AO605" s="187" t="s">
        <v>25</v>
      </c>
      <c r="AP605" s="187" t="s">
        <v>25</v>
      </c>
      <c r="AQ605" s="187">
        <f>Limits!$K$9</f>
        <v>200</v>
      </c>
      <c r="AR605" s="124">
        <v>1200</v>
      </c>
      <c r="AS605" s="187"/>
      <c r="AT605" s="124"/>
      <c r="AV605"/>
      <c r="AX605" s="10"/>
      <c r="AY605" s="11"/>
      <c r="AZ605" s="2"/>
      <c r="BC605"/>
    </row>
    <row r="606" spans="1:55" hidden="1" x14ac:dyDescent="0.25">
      <c r="A606" s="12" t="str">
        <f ca="1">IF(F606+G606+H606+I606+J606+D606+E606=3,IF(Tabelle2[[#This Row],[Kappe Weiß]]=Limits!$R$29,1,""),"")</f>
        <v/>
      </c>
      <c r="B606" s="12" t="str">
        <f ca="1">IF(G606+H606+I606+J606+E606+F606=2,IF(Tabelle2[[#This Row],[Kappe Weiß]]=Limits!$R$29,1,""),"")</f>
        <v/>
      </c>
      <c r="C606" s="291">
        <v>1</v>
      </c>
      <c r="D606" s="171">
        <f>IF(Limits!$P$6=TRUE,1,0)</f>
        <v>0</v>
      </c>
      <c r="E606" s="172">
        <f>IF(Daten!$P606+Daten!$Q606+Daten!$S606=3,1,0)</f>
        <v>0</v>
      </c>
      <c r="F606" s="173">
        <f ca="1">IF(AND(Limits!$Q$21=TRUE,Daten!O606=1)=TRUE,1,0)</f>
        <v>0</v>
      </c>
      <c r="G606" s="174">
        <f>IF(AND(Limits!$Q$25=TRUE,Daten!N606=1)=TRUE,1,0)</f>
        <v>0</v>
      </c>
      <c r="H606" s="174">
        <f>IF(AND(Limits!$Q$24=TRUE,Daten!M606=1)=TRUE,1,0)</f>
        <v>0</v>
      </c>
      <c r="I606" s="174">
        <f>IF(AND(Limits!$Q$23=TRUE,Daten!L606=1)=TRUE,1,0)</f>
        <v>0</v>
      </c>
      <c r="J606" s="174">
        <f>IF(AND(Limits!$Q$22=TRUE,Daten!K606=1)=TRUE,1,0)</f>
        <v>0</v>
      </c>
      <c r="K606" s="188">
        <f>IF(Daten!$V606=13,1,0)</f>
        <v>0</v>
      </c>
      <c r="L606" s="189">
        <f>IF(Daten!$V606&lt;&gt;Daten!$W606,1,IF(Daten!$V606=14,1,0))</f>
        <v>0</v>
      </c>
      <c r="M606" s="189">
        <f>IF(Daten!$V606&lt;&gt;Daten!$W606,1,IF(Daten!$V606=16,1,0))</f>
        <v>0</v>
      </c>
      <c r="N606" s="189">
        <f>IF(Daten!$W606=17,1,0)</f>
        <v>1</v>
      </c>
      <c r="O606" s="190">
        <f ca="1">IF(Daten!$X606=Sprache!$A$70,1,0)</f>
        <v>0</v>
      </c>
      <c r="P606" s="191">
        <f>IF(AND(Daten!$AQ606&lt;=KINVARO!$AW$3,Daten!$AR606&gt;=KINVARO!$AW$3)=TRUE,1,0)</f>
        <v>1</v>
      </c>
      <c r="Q606" s="192">
        <f>IF(AND(Daten!$AA606&lt;=KINVARO!$AW$4,Daten!$AB606&gt;=KINVARO!$AW$4)=TRUE,1,0)</f>
        <v>0</v>
      </c>
      <c r="R606" s="192"/>
      <c r="S606" s="192">
        <f>IF(AND(Daten!$AD606&lt;=Limits!$I$70,Daten!$AE606&gt;=Limits!$I$70)=TRUE,1,0)</f>
        <v>0</v>
      </c>
      <c r="T606" s="193">
        <f ca="1">IF(Daten!$Y606=Sprache!$A$135,1,0)</f>
        <v>0</v>
      </c>
      <c r="U606" s="124" t="str">
        <f ca="1">Sprache!$A$68</f>
        <v>T-65 Поворотный подъемник</v>
      </c>
      <c r="V606" s="194">
        <v>17</v>
      </c>
      <c r="W606" s="193">
        <v>17</v>
      </c>
      <c r="X606" s="187" t="str">
        <f ca="1">Sprache!$A$141</f>
        <v>Alu</v>
      </c>
      <c r="Y606" s="187" t="str">
        <f ca="1">Sprache!$A$136</f>
        <v>nein</v>
      </c>
      <c r="Z606" s="187" t="str">
        <f ca="1">Sprache!$A$79</f>
        <v>Створка</v>
      </c>
      <c r="AA606" s="187">
        <v>250</v>
      </c>
      <c r="AB606" s="124">
        <v>299</v>
      </c>
      <c r="AC606" s="187"/>
      <c r="AD606" s="195">
        <v>0.9</v>
      </c>
      <c r="AE606" s="196">
        <v>2.1</v>
      </c>
      <c r="AF606" s="263" t="str">
        <f>MID(Tabelle2[[#This Row],[bnr full]],1,4)</f>
        <v>F151</v>
      </c>
      <c r="AG606" s="264" t="str">
        <f>MID(Tabelle2[[#This Row],[bnr full]],5,3)</f>
        <v>147</v>
      </c>
      <c r="AH606" s="265" t="str">
        <f>MID(Tabelle2[[#This Row],[bnr full]],8,3)</f>
        <v>801</v>
      </c>
      <c r="AI606" s="264" t="str">
        <f>MID(Tabelle2[[#This Row],[bnr full]],11,3)</f>
        <v>201</v>
      </c>
      <c r="AJ606" s="252" t="str">
        <f>MID(Tabelle2[[#This Row],[bnr full]],11,3)</f>
        <v>201</v>
      </c>
      <c r="AK606" s="197" t="s">
        <v>1671</v>
      </c>
      <c r="AL606" s="124" t="str">
        <f ca="1">Sprache!$A$111</f>
        <v>Комплект (Л + П)</v>
      </c>
      <c r="AM606" s="187" t="s">
        <v>25</v>
      </c>
      <c r="AN606" s="187" t="str">
        <f ca="1">Sprache!$A$129</f>
        <v>Пружина, желтая, односторонняя</v>
      </c>
      <c r="AO606" s="187" t="s">
        <v>25</v>
      </c>
      <c r="AP606" s="187" t="s">
        <v>25</v>
      </c>
      <c r="AQ606" s="187">
        <f>Limits!$K$9</f>
        <v>200</v>
      </c>
      <c r="AR606" s="124">
        <v>1200</v>
      </c>
      <c r="AS606" s="187"/>
      <c r="AT606" s="124"/>
      <c r="AV606"/>
      <c r="AX606" s="10"/>
      <c r="AY606" s="11"/>
      <c r="AZ606" s="2"/>
      <c r="BC606"/>
    </row>
    <row r="607" spans="1:55" hidden="1" x14ac:dyDescent="0.25">
      <c r="A607" s="12" t="str">
        <f ca="1">IF(F607+G607+H607+I607+J607+D607+E607=3,IF(Tabelle2[[#This Row],[Kappe Weiß]]=Limits!$R$29,1,""),"")</f>
        <v/>
      </c>
      <c r="B607" s="12" t="str">
        <f ca="1">IF(G607+H607+I607+J607+E607+F607=2,IF(Tabelle2[[#This Row],[Kappe Weiß]]=Limits!$R$29,1,""),"")</f>
        <v/>
      </c>
      <c r="C607" s="291">
        <v>1</v>
      </c>
      <c r="D607" s="171">
        <f>IF(Limits!$P$6=TRUE,1,0)</f>
        <v>0</v>
      </c>
      <c r="E607" s="172">
        <f>IF(Daten!$P607+Daten!$Q607+Daten!$S607=3,1,0)</f>
        <v>0</v>
      </c>
      <c r="F607" s="173">
        <f ca="1">IF(AND(Limits!$Q$21=TRUE,Daten!O607=1)=TRUE,1,0)</f>
        <v>0</v>
      </c>
      <c r="G607" s="174">
        <f>IF(AND(Limits!$Q$25=TRUE,Daten!N607=1)=TRUE,1,0)</f>
        <v>0</v>
      </c>
      <c r="H607" s="174">
        <f>IF(AND(Limits!$Q$24=TRUE,Daten!M607=1)=TRUE,1,0)</f>
        <v>0</v>
      </c>
      <c r="I607" s="174">
        <f>IF(AND(Limits!$Q$23=TRUE,Daten!L607=1)=TRUE,1,0)</f>
        <v>0</v>
      </c>
      <c r="J607" s="174">
        <f>IF(AND(Limits!$Q$22=TRUE,Daten!K607=1)=TRUE,1,0)</f>
        <v>0</v>
      </c>
      <c r="K607" s="188">
        <f>IF(Daten!$V607=13,1,0)</f>
        <v>0</v>
      </c>
      <c r="L607" s="189">
        <f>IF(Daten!$V607&lt;&gt;Daten!$W607,1,IF(Daten!$V607=14,1,0))</f>
        <v>0</v>
      </c>
      <c r="M607" s="189">
        <f>IF(Daten!$V607&lt;&gt;Daten!$W607,1,IF(Daten!$V607=16,1,0))</f>
        <v>0</v>
      </c>
      <c r="N607" s="189">
        <f>IF(Daten!$W607=17,1,0)</f>
        <v>1</v>
      </c>
      <c r="O607" s="190">
        <f ca="1">IF(Daten!$X607=Sprache!$A$70,1,0)</f>
        <v>0</v>
      </c>
      <c r="P607" s="191">
        <f>IF(AND(Daten!$AQ607&lt;=KINVARO!$AW$3,Daten!$AR607&gt;=KINVARO!$AW$3)=TRUE,1,0)</f>
        <v>1</v>
      </c>
      <c r="Q607" s="192">
        <f>IF(AND(Daten!$AA607&lt;=KINVARO!$AW$4,Daten!$AB607&gt;=KINVARO!$AW$4)=TRUE,1,0)</f>
        <v>0</v>
      </c>
      <c r="R607" s="192"/>
      <c r="S607" s="192">
        <f>IF(AND(Daten!$AD607&lt;=Limits!$I$70,Daten!$AE607&gt;=Limits!$I$70)=TRUE,1,0)</f>
        <v>0</v>
      </c>
      <c r="T607" s="193">
        <f ca="1">IF(Daten!$Y607=Sprache!$A$135,1,0)</f>
        <v>0</v>
      </c>
      <c r="U607" s="124" t="str">
        <f ca="1">Sprache!$A$68</f>
        <v>T-65 Поворотный подъемник</v>
      </c>
      <c r="V607" s="194">
        <v>17</v>
      </c>
      <c r="W607" s="193">
        <v>17</v>
      </c>
      <c r="X607" s="187" t="str">
        <f ca="1">Sprache!$A$141</f>
        <v>Alu</v>
      </c>
      <c r="Y607" s="187" t="str">
        <f ca="1">Sprache!$A$136</f>
        <v>nein</v>
      </c>
      <c r="Z607" s="187" t="str">
        <f ca="1">Sprache!$A$79</f>
        <v>Створка</v>
      </c>
      <c r="AA607" s="187">
        <v>250</v>
      </c>
      <c r="AB607" s="124">
        <v>299</v>
      </c>
      <c r="AC607" s="187"/>
      <c r="AD607" s="195">
        <v>1.8</v>
      </c>
      <c r="AE607" s="196">
        <v>4.2</v>
      </c>
      <c r="AF607" s="263" t="str">
        <f>MID(Tabelle2[[#This Row],[bnr full]],1,4)</f>
        <v>F151</v>
      </c>
      <c r="AG607" s="264" t="str">
        <f>MID(Tabelle2[[#This Row],[bnr full]],5,3)</f>
        <v>147</v>
      </c>
      <c r="AH607" s="265" t="str">
        <f>MID(Tabelle2[[#This Row],[bnr full]],8,3)</f>
        <v>801</v>
      </c>
      <c r="AI607" s="264" t="str">
        <f>MID(Tabelle2[[#This Row],[bnr full]],11,3)</f>
        <v>201</v>
      </c>
      <c r="AJ607" s="252" t="str">
        <f>MID(Tabelle2[[#This Row],[bnr full]],11,3)</f>
        <v>201</v>
      </c>
      <c r="AK607" s="197" t="s">
        <v>1671</v>
      </c>
      <c r="AL607" s="124" t="str">
        <f ca="1">Sprache!$A$111</f>
        <v>Комплект (Л + П)</v>
      </c>
      <c r="AM607" s="187" t="s">
        <v>25</v>
      </c>
      <c r="AN607" s="187" t="str">
        <f ca="1">Sprache!$A$130</f>
        <v>Пружина, желтая, двусторонняя</v>
      </c>
      <c r="AO607" s="187" t="s">
        <v>25</v>
      </c>
      <c r="AP607" s="187" t="s">
        <v>25</v>
      </c>
      <c r="AQ607" s="187">
        <f>Limits!$K$9</f>
        <v>200</v>
      </c>
      <c r="AR607" s="124">
        <v>1200</v>
      </c>
      <c r="AS607" s="187"/>
      <c r="AT607" s="124"/>
      <c r="AV607"/>
      <c r="AX607" s="10"/>
      <c r="AY607" s="11"/>
      <c r="AZ607" s="2"/>
      <c r="BC607"/>
    </row>
    <row r="608" spans="1:55" hidden="1" x14ac:dyDescent="0.25">
      <c r="A608" s="12" t="str">
        <f ca="1">IF(F608+G608+H608+I608+J608+D608+E608=3,IF(Tabelle2[[#This Row],[Kappe Weiß]]=Limits!$R$29,1,""),"")</f>
        <v/>
      </c>
      <c r="B608" s="12" t="str">
        <f ca="1">IF(G608+H608+I608+J608+E608+F608=2,IF(Tabelle2[[#This Row],[Kappe Weiß]]=Limits!$R$29,1,""),"")</f>
        <v/>
      </c>
      <c r="C608" s="291">
        <v>1</v>
      </c>
      <c r="D608" s="171">
        <f>IF(Limits!$P$6=TRUE,1,0)</f>
        <v>0</v>
      </c>
      <c r="E608" s="172">
        <f>IF(Daten!$P608+Daten!$Q608+Daten!$S608=3,1,0)</f>
        <v>0</v>
      </c>
      <c r="F608" s="173">
        <f ca="1">IF(AND(Limits!$Q$21=TRUE,Daten!O608=1)=TRUE,1,0)</f>
        <v>0</v>
      </c>
      <c r="G608" s="174">
        <f>IF(AND(Limits!$Q$25=TRUE,Daten!N608=1)=TRUE,1,0)</f>
        <v>0</v>
      </c>
      <c r="H608" s="174">
        <f>IF(AND(Limits!$Q$24=TRUE,Daten!M608=1)=TRUE,1,0)</f>
        <v>0</v>
      </c>
      <c r="I608" s="174">
        <f>IF(AND(Limits!$Q$23=TRUE,Daten!L608=1)=TRUE,1,0)</f>
        <v>0</v>
      </c>
      <c r="J608" s="174">
        <f>IF(AND(Limits!$Q$22=TRUE,Daten!K608=1)=TRUE,1,0)</f>
        <v>0</v>
      </c>
      <c r="K608" s="188">
        <f>IF(Daten!$V608=13,1,0)</f>
        <v>0</v>
      </c>
      <c r="L608" s="189">
        <f>IF(Daten!$V608&lt;&gt;Daten!$W608,1,IF(Daten!$V608=14,1,0))</f>
        <v>0</v>
      </c>
      <c r="M608" s="189">
        <f>IF(Daten!$V608&lt;&gt;Daten!$W608,1,IF(Daten!$V608=16,1,0))</f>
        <v>0</v>
      </c>
      <c r="N608" s="189">
        <f>IF(Daten!$W608=17,1,0)</f>
        <v>1</v>
      </c>
      <c r="O608" s="190">
        <f ca="1">IF(Daten!$X608=Sprache!$A$70,1,0)</f>
        <v>0</v>
      </c>
      <c r="P608" s="191">
        <f>IF(AND(Daten!$AQ608&lt;=KINVARO!$AW$3,Daten!$AR608&gt;=KINVARO!$AW$3)=TRUE,1,0)</f>
        <v>1</v>
      </c>
      <c r="Q608" s="192">
        <f>IF(AND(Daten!$AA608&lt;=KINVARO!$AW$4,Daten!$AB608&gt;=KINVARO!$AW$4)=TRUE,1,0)</f>
        <v>0</v>
      </c>
      <c r="R608" s="192"/>
      <c r="S608" s="192">
        <f>IF(AND(Daten!$AD608&lt;=Limits!$I$70,Daten!$AE608&gt;=Limits!$I$70)=TRUE,1,0)</f>
        <v>0</v>
      </c>
      <c r="T608" s="193">
        <f ca="1">IF(Daten!$Y608=Sprache!$A$135,1,0)</f>
        <v>0</v>
      </c>
      <c r="U608" s="124" t="str">
        <f ca="1">Sprache!$A$68</f>
        <v>T-65 Поворотный подъемник</v>
      </c>
      <c r="V608" s="194">
        <v>17</v>
      </c>
      <c r="W608" s="193">
        <v>17</v>
      </c>
      <c r="X608" s="187" t="str">
        <f ca="1">Sprache!$A$141</f>
        <v>Alu</v>
      </c>
      <c r="Y608" s="187" t="str">
        <f ca="1">Sprache!$A$136</f>
        <v>nein</v>
      </c>
      <c r="Z608" s="187" t="str">
        <f ca="1">Sprache!$A$79</f>
        <v>Створка</v>
      </c>
      <c r="AA608" s="187">
        <v>250</v>
      </c>
      <c r="AB608" s="124">
        <v>299</v>
      </c>
      <c r="AC608" s="187"/>
      <c r="AD608" s="195">
        <v>2.4</v>
      </c>
      <c r="AE608" s="196">
        <v>7.4</v>
      </c>
      <c r="AF608" s="263" t="str">
        <f>MID(Tabelle2[[#This Row],[bnr full]],1,4)</f>
        <v>F151</v>
      </c>
      <c r="AG608" s="264" t="str">
        <f>MID(Tabelle2[[#This Row],[bnr full]],5,3)</f>
        <v>147</v>
      </c>
      <c r="AH608" s="265" t="str">
        <f>MID(Tabelle2[[#This Row],[bnr full]],8,3)</f>
        <v>801</v>
      </c>
      <c r="AI608" s="264" t="str">
        <f>MID(Tabelle2[[#This Row],[bnr full]],11,3)</f>
        <v>201</v>
      </c>
      <c r="AJ608" s="252" t="str">
        <f>MID(Tabelle2[[#This Row],[bnr full]],11,3)</f>
        <v>201</v>
      </c>
      <c r="AK608" s="197" t="s">
        <v>1671</v>
      </c>
      <c r="AL608" s="124" t="str">
        <f ca="1">Sprache!$A$111</f>
        <v>Комплект (Л + П)</v>
      </c>
      <c r="AM608" s="187" t="s">
        <v>25</v>
      </c>
      <c r="AN608" s="187" t="str">
        <f ca="1">Sprache!$A$131</f>
        <v>Пружина, черная, двусторонняя</v>
      </c>
      <c r="AO608" s="187" t="s">
        <v>25</v>
      </c>
      <c r="AP608" s="187" t="s">
        <v>25</v>
      </c>
      <c r="AQ608" s="187">
        <f>Limits!$K$9</f>
        <v>200</v>
      </c>
      <c r="AR608" s="124">
        <v>1200</v>
      </c>
      <c r="AS608" s="187"/>
      <c r="AT608" s="124"/>
      <c r="AV608"/>
      <c r="AX608" s="10"/>
      <c r="AY608" s="11"/>
      <c r="AZ608" s="2"/>
      <c r="BC608"/>
    </row>
    <row r="609" spans="1:55" hidden="1" x14ac:dyDescent="0.25">
      <c r="A609" s="12" t="str">
        <f ca="1">IF(F609+G609+H609+I609+J609+D609+E609=3,IF(Tabelle2[[#This Row],[Kappe Weiß]]=Limits!$R$29,1,""),"")</f>
        <v/>
      </c>
      <c r="B609" s="12" t="str">
        <f ca="1">IF(G609+H609+I609+J609+E609+F609=2,IF(Tabelle2[[#This Row],[Kappe Weiß]]=Limits!$R$29,1,""),"")</f>
        <v/>
      </c>
      <c r="C609" s="292">
        <v>1</v>
      </c>
      <c r="D609" s="171">
        <f>IF(Limits!$P$6=TRUE,1,0)</f>
        <v>0</v>
      </c>
      <c r="E609" s="172">
        <f>IF(Daten!$P609+Daten!$Q609+Daten!$S609=3,1,0)</f>
        <v>0</v>
      </c>
      <c r="F609" s="173">
        <f ca="1">IF(AND(Limits!$Q$21=TRUE,Daten!O609=1)=TRUE,1,0)</f>
        <v>1</v>
      </c>
      <c r="G609" s="174">
        <f ca="1">IF(AND(Limits!$Q$25=TRUE,Daten!N609=1)=TRUE,1,0)</f>
        <v>0</v>
      </c>
      <c r="H609" s="174">
        <f ca="1">IF(AND(Limits!$Q$24=TRUE,Daten!M609=1)=TRUE,1,0)</f>
        <v>0</v>
      </c>
      <c r="I609" s="174">
        <f ca="1">IF(AND(Limits!$Q$23=TRUE,Daten!L609=1)=TRUE,1,0)</f>
        <v>0</v>
      </c>
      <c r="J609" s="174">
        <f ca="1">IF(AND(Limits!$Q$22=TRUE,Daten!K609=1)=TRUE,1,0)</f>
        <v>0</v>
      </c>
      <c r="K609" s="188">
        <f ca="1">IF(Daten!$V609=13,1,0)</f>
        <v>0</v>
      </c>
      <c r="L609" s="189">
        <f ca="1">IF(Daten!$V609&lt;&gt;Daten!$W609,1,IF(Daten!$V609=14,1,0))</f>
        <v>0</v>
      </c>
      <c r="M609" s="189">
        <f ca="1">IF(Daten!$V609&lt;&gt;Daten!$W609,1,IF(Daten!$V609=16,1,0))</f>
        <v>0</v>
      </c>
      <c r="N609" s="189">
        <f ca="1">IF(Daten!$W609=17,1,0)</f>
        <v>0</v>
      </c>
      <c r="O609" s="190">
        <f ca="1">IF(Daten!$X609=Sprache!$A$70,1,0)</f>
        <v>1</v>
      </c>
      <c r="P609" s="198">
        <f>IF(AND(Daten!$AQ609&lt;=KINVARO!$AW$3,Daten!$AR609&gt;=KINVARO!$AW$3)=TRUE,1,0)</f>
        <v>1</v>
      </c>
      <c r="Q609" s="199">
        <f>IF(AND(Daten!$AA609&lt;=KINVARO!$AW$4,Daten!$AB609&gt;=KINVARO!$AW$4)=TRUE,1,0)</f>
        <v>0</v>
      </c>
      <c r="R609" s="199"/>
      <c r="S609" s="199">
        <f>IF(AND(Daten!$AD609&lt;=Limits!$I$70,Daten!$AE609&gt;=Limits!$I$70)=TRUE,1,0)</f>
        <v>0</v>
      </c>
      <c r="T609" s="200">
        <f ca="1">IF(Daten!$Y609=Sprache!$A$135,1,0)</f>
        <v>0</v>
      </c>
      <c r="U609" s="201" t="str">
        <f ca="1">Sprache!$A$68</f>
        <v>T-65 Поворотный подъемник</v>
      </c>
      <c r="V609" s="202" t="str">
        <f ca="1">Sprache!$A$74</f>
        <v>var</v>
      </c>
      <c r="W609" s="200" t="str">
        <f ca="1">Sprache!$A$74</f>
        <v>var</v>
      </c>
      <c r="X609" s="203" t="str">
        <f ca="1">Sprache!$A$70</f>
        <v>соединение с древесиной</v>
      </c>
      <c r="Y609" s="187" t="str">
        <f ca="1">Sprache!$A$136</f>
        <v>nein</v>
      </c>
      <c r="Z609" s="203" t="str">
        <f ca="1">Sprache!$A$79</f>
        <v>Створка</v>
      </c>
      <c r="AA609" s="203">
        <v>300</v>
      </c>
      <c r="AB609" s="201">
        <v>349</v>
      </c>
      <c r="AC609" s="203"/>
      <c r="AD609" s="204">
        <v>0.7</v>
      </c>
      <c r="AE609" s="205">
        <v>1.7</v>
      </c>
      <c r="AF609" s="266" t="str">
        <f>MID(Tabelle2[[#This Row],[bnr full]],1,4)</f>
        <v>F151</v>
      </c>
      <c r="AG609" s="267" t="str">
        <f>MID(Tabelle2[[#This Row],[bnr full]],5,3)</f>
        <v>147</v>
      </c>
      <c r="AH609" s="268" t="str">
        <f>MID(Tabelle2[[#This Row],[bnr full]],8,3)</f>
        <v>797</v>
      </c>
      <c r="AI609" s="267" t="str">
        <f>MID(Tabelle2[[#This Row],[bnr full]],11,3)</f>
        <v>201</v>
      </c>
      <c r="AJ609" s="253" t="str">
        <f>MID(Tabelle2[[#This Row],[bnr full]],11,3)</f>
        <v>201</v>
      </c>
      <c r="AK609" s="206" t="s">
        <v>1667</v>
      </c>
      <c r="AL609" s="201" t="str">
        <f ca="1">Sprache!$A$111</f>
        <v>Комплект (Л + П)</v>
      </c>
      <c r="AM609" s="203" t="s">
        <v>25</v>
      </c>
      <c r="AN609" s="203" t="str">
        <f ca="1">Sprache!$A$129</f>
        <v>Пружина, желтая, односторонняя</v>
      </c>
      <c r="AO609" s="187" t="s">
        <v>25</v>
      </c>
      <c r="AP609" s="187" t="s">
        <v>25</v>
      </c>
      <c r="AQ609" s="203">
        <f>Limits!$K$9</f>
        <v>200</v>
      </c>
      <c r="AR609" s="201">
        <v>1200</v>
      </c>
      <c r="AS609" s="187"/>
      <c r="AT609" s="124"/>
      <c r="AV609"/>
      <c r="AX609" s="10"/>
      <c r="AY609" s="11"/>
      <c r="AZ609" s="2"/>
      <c r="BC609"/>
    </row>
    <row r="610" spans="1:55" hidden="1" x14ac:dyDescent="0.25">
      <c r="A610" s="12" t="str">
        <f ca="1">IF(F610+G610+H610+I610+J610+D610+E610=3,IF(Tabelle2[[#This Row],[Kappe Weiß]]=Limits!$R$29,1,""),"")</f>
        <v/>
      </c>
      <c r="B610" s="12" t="str">
        <f ca="1">IF(G610+H610+I610+J610+E610+F610=2,IF(Tabelle2[[#This Row],[Kappe Weiß]]=Limits!$R$29,1,""),"")</f>
        <v/>
      </c>
      <c r="C610" s="291">
        <v>1</v>
      </c>
      <c r="D610" s="171">
        <f>IF(Limits!$P$6=TRUE,1,0)</f>
        <v>0</v>
      </c>
      <c r="E610" s="172">
        <f>IF(Daten!$P610+Daten!$Q610+Daten!$S610=3,1,0)</f>
        <v>0</v>
      </c>
      <c r="F610" s="173">
        <f ca="1">IF(AND(Limits!$Q$21=TRUE,Daten!O610=1)=TRUE,1,0)</f>
        <v>1</v>
      </c>
      <c r="G610" s="174">
        <f ca="1">IF(AND(Limits!$Q$25=TRUE,Daten!N610=1)=TRUE,1,0)</f>
        <v>0</v>
      </c>
      <c r="H610" s="174">
        <f ca="1">IF(AND(Limits!$Q$24=TRUE,Daten!M610=1)=TRUE,1,0)</f>
        <v>0</v>
      </c>
      <c r="I610" s="174">
        <f ca="1">IF(AND(Limits!$Q$23=TRUE,Daten!L610=1)=TRUE,1,0)</f>
        <v>0</v>
      </c>
      <c r="J610" s="174">
        <f ca="1">IF(AND(Limits!$Q$22=TRUE,Daten!K610=1)=TRUE,1,0)</f>
        <v>0</v>
      </c>
      <c r="K610" s="188">
        <f ca="1">IF(Daten!$V610=13,1,0)</f>
        <v>0</v>
      </c>
      <c r="L610" s="189">
        <f ca="1">IF(Daten!$V610&lt;&gt;Daten!$W610,1,IF(Daten!$V610=14,1,0))</f>
        <v>0</v>
      </c>
      <c r="M610" s="189">
        <f ca="1">IF(Daten!$V610&lt;&gt;Daten!$W610,1,IF(Daten!$V610=16,1,0))</f>
        <v>0</v>
      </c>
      <c r="N610" s="189">
        <f ca="1">IF(Daten!$W610=17,1,0)</f>
        <v>0</v>
      </c>
      <c r="O610" s="190">
        <f ca="1">IF(Daten!$X610=Sprache!$A$70,1,0)</f>
        <v>1</v>
      </c>
      <c r="P610" s="191">
        <f>IF(AND(Daten!$AQ610&lt;=KINVARO!$AW$3,Daten!$AR610&gt;=KINVARO!$AW$3)=TRUE,1,0)</f>
        <v>1</v>
      </c>
      <c r="Q610" s="192">
        <f>IF(AND(Daten!$AA610&lt;=KINVARO!$AW$4,Daten!$AB610&gt;=KINVARO!$AW$4)=TRUE,1,0)</f>
        <v>0</v>
      </c>
      <c r="R610" s="192"/>
      <c r="S610" s="192">
        <f>IF(AND(Daten!$AD610&lt;=Limits!$I$70,Daten!$AE610&gt;=Limits!$I$70)=TRUE,1,0)</f>
        <v>0</v>
      </c>
      <c r="T610" s="193">
        <f ca="1">IF(Daten!$Y610=Sprache!$A$135,1,0)</f>
        <v>0</v>
      </c>
      <c r="U610" s="124" t="str">
        <f ca="1">Sprache!$A$68</f>
        <v>T-65 Поворотный подъемник</v>
      </c>
      <c r="V610" s="194" t="str">
        <f ca="1">Sprache!$A$74</f>
        <v>var</v>
      </c>
      <c r="W610" s="193" t="str">
        <f ca="1">Sprache!$A$74</f>
        <v>var</v>
      </c>
      <c r="X610" s="187" t="str">
        <f ca="1">Sprache!$A$70</f>
        <v>соединение с древесиной</v>
      </c>
      <c r="Y610" s="187" t="str">
        <f ca="1">Sprache!$A$136</f>
        <v>nein</v>
      </c>
      <c r="Z610" s="187" t="str">
        <f ca="1">Sprache!$A$79</f>
        <v>Створка</v>
      </c>
      <c r="AA610" s="187">
        <v>300</v>
      </c>
      <c r="AB610" s="124">
        <v>349</v>
      </c>
      <c r="AC610" s="187"/>
      <c r="AD610" s="195">
        <v>1.4</v>
      </c>
      <c r="AE610" s="196">
        <v>3.4</v>
      </c>
      <c r="AF610" s="263" t="str">
        <f>MID(Tabelle2[[#This Row],[bnr full]],1,4)</f>
        <v>F151</v>
      </c>
      <c r="AG610" s="264" t="str">
        <f>MID(Tabelle2[[#This Row],[bnr full]],5,3)</f>
        <v>147</v>
      </c>
      <c r="AH610" s="265" t="str">
        <f>MID(Tabelle2[[#This Row],[bnr full]],8,3)</f>
        <v>797</v>
      </c>
      <c r="AI610" s="264" t="str">
        <f>MID(Tabelle2[[#This Row],[bnr full]],11,3)</f>
        <v>201</v>
      </c>
      <c r="AJ610" s="252" t="str">
        <f>MID(Tabelle2[[#This Row],[bnr full]],11,3)</f>
        <v>201</v>
      </c>
      <c r="AK610" s="197" t="s">
        <v>1667</v>
      </c>
      <c r="AL610" s="124" t="str">
        <f ca="1">Sprache!$A$111</f>
        <v>Комплект (Л + П)</v>
      </c>
      <c r="AM610" s="187" t="s">
        <v>25</v>
      </c>
      <c r="AN610" s="187" t="str">
        <f ca="1">Sprache!$A$130</f>
        <v>Пружина, желтая, двусторонняя</v>
      </c>
      <c r="AO610" s="187" t="s">
        <v>25</v>
      </c>
      <c r="AP610" s="187" t="s">
        <v>25</v>
      </c>
      <c r="AQ610" s="187">
        <f>Limits!$K$9</f>
        <v>200</v>
      </c>
      <c r="AR610" s="124">
        <v>1200</v>
      </c>
      <c r="AS610" s="187"/>
      <c r="AT610" s="124"/>
      <c r="AV610"/>
      <c r="AX610" s="10"/>
      <c r="AY610" s="11"/>
      <c r="AZ610" s="2"/>
      <c r="BC610"/>
    </row>
    <row r="611" spans="1:55" hidden="1" x14ac:dyDescent="0.25">
      <c r="A611" s="12" t="str">
        <f ca="1">IF(F611+G611+H611+I611+J611+D611+E611=3,IF(Tabelle2[[#This Row],[Kappe Weiß]]=Limits!$R$29,1,""),"")</f>
        <v/>
      </c>
      <c r="B611" s="12" t="str">
        <f ca="1">IF(G611+H611+I611+J611+E611+F611=2,IF(Tabelle2[[#This Row],[Kappe Weiß]]=Limits!$R$29,1,""),"")</f>
        <v/>
      </c>
      <c r="C611" s="291">
        <v>1</v>
      </c>
      <c r="D611" s="171">
        <f>IF(Limits!$P$6=TRUE,1,0)</f>
        <v>0</v>
      </c>
      <c r="E611" s="172">
        <f>IF(Daten!$P611+Daten!$Q611+Daten!$S611=3,1,0)</f>
        <v>0</v>
      </c>
      <c r="F611" s="173">
        <f ca="1">IF(AND(Limits!$Q$21=TRUE,Daten!O611=1)=TRUE,1,0)</f>
        <v>1</v>
      </c>
      <c r="G611" s="174">
        <f ca="1">IF(AND(Limits!$Q$25=TRUE,Daten!N611=1)=TRUE,1,0)</f>
        <v>0</v>
      </c>
      <c r="H611" s="174">
        <f ca="1">IF(AND(Limits!$Q$24=TRUE,Daten!M611=1)=TRUE,1,0)</f>
        <v>0</v>
      </c>
      <c r="I611" s="174">
        <f ca="1">IF(AND(Limits!$Q$23=TRUE,Daten!L611=1)=TRUE,1,0)</f>
        <v>0</v>
      </c>
      <c r="J611" s="174">
        <f ca="1">IF(AND(Limits!$Q$22=TRUE,Daten!K611=1)=TRUE,1,0)</f>
        <v>0</v>
      </c>
      <c r="K611" s="188">
        <f ca="1">IF(Daten!$V611=13,1,0)</f>
        <v>0</v>
      </c>
      <c r="L611" s="189">
        <f ca="1">IF(Daten!$V611&lt;&gt;Daten!$W611,1,IF(Daten!$V611=14,1,0))</f>
        <v>0</v>
      </c>
      <c r="M611" s="189">
        <f ca="1">IF(Daten!$V611&lt;&gt;Daten!$W611,1,IF(Daten!$V611=16,1,0))</f>
        <v>0</v>
      </c>
      <c r="N611" s="189">
        <f ca="1">IF(Daten!$W611=17,1,0)</f>
        <v>0</v>
      </c>
      <c r="O611" s="190">
        <f ca="1">IF(Daten!$X611=Sprache!$A$70,1,0)</f>
        <v>1</v>
      </c>
      <c r="P611" s="191">
        <f>IF(AND(Daten!$AQ611&lt;=KINVARO!$AW$3,Daten!$AR611&gt;=KINVARO!$AW$3)=TRUE,1,0)</f>
        <v>1</v>
      </c>
      <c r="Q611" s="192">
        <f>IF(AND(Daten!$AA611&lt;=KINVARO!$AW$4,Daten!$AB611&gt;=KINVARO!$AW$4)=TRUE,1,0)</f>
        <v>0</v>
      </c>
      <c r="R611" s="192"/>
      <c r="S611" s="192">
        <f>IF(AND(Daten!$AD611&lt;=Limits!$I$70,Daten!$AE611&gt;=Limits!$I$70)=TRUE,1,0)</f>
        <v>0</v>
      </c>
      <c r="T611" s="193">
        <f ca="1">IF(Daten!$Y611=Sprache!$A$135,1,0)</f>
        <v>0</v>
      </c>
      <c r="U611" s="124" t="str">
        <f ca="1">Sprache!$A$68</f>
        <v>T-65 Поворотный подъемник</v>
      </c>
      <c r="V611" s="194" t="str">
        <f ca="1">Sprache!$A$74</f>
        <v>var</v>
      </c>
      <c r="W611" s="193" t="str">
        <f ca="1">Sprache!$A$74</f>
        <v>var</v>
      </c>
      <c r="X611" s="187" t="str">
        <f ca="1">Sprache!$A$70</f>
        <v>соединение с древесиной</v>
      </c>
      <c r="Y611" s="187" t="str">
        <f ca="1">Sprache!$A$136</f>
        <v>nein</v>
      </c>
      <c r="Z611" s="187" t="str">
        <f ca="1">Sprache!$A$79</f>
        <v>Створка</v>
      </c>
      <c r="AA611" s="187">
        <v>300</v>
      </c>
      <c r="AB611" s="124">
        <v>349</v>
      </c>
      <c r="AC611" s="187"/>
      <c r="AD611" s="195">
        <v>2</v>
      </c>
      <c r="AE611" s="196">
        <v>6.3</v>
      </c>
      <c r="AF611" s="263" t="str">
        <f>MID(Tabelle2[[#This Row],[bnr full]],1,4)</f>
        <v>F151</v>
      </c>
      <c r="AG611" s="264" t="str">
        <f>MID(Tabelle2[[#This Row],[bnr full]],5,3)</f>
        <v>147</v>
      </c>
      <c r="AH611" s="265" t="str">
        <f>MID(Tabelle2[[#This Row],[bnr full]],8,3)</f>
        <v>797</v>
      </c>
      <c r="AI611" s="264" t="str">
        <f>MID(Tabelle2[[#This Row],[bnr full]],11,3)</f>
        <v>201</v>
      </c>
      <c r="AJ611" s="252" t="str">
        <f>MID(Tabelle2[[#This Row],[bnr full]],11,3)</f>
        <v>201</v>
      </c>
      <c r="AK611" s="197" t="s">
        <v>1667</v>
      </c>
      <c r="AL611" s="124" t="str">
        <f ca="1">Sprache!$A$111</f>
        <v>Комплект (Л + П)</v>
      </c>
      <c r="AM611" s="187" t="s">
        <v>25</v>
      </c>
      <c r="AN611" s="187" t="str">
        <f ca="1">Sprache!$A$131</f>
        <v>Пружина, черная, двусторонняя</v>
      </c>
      <c r="AO611" s="187" t="s">
        <v>25</v>
      </c>
      <c r="AP611" s="187" t="s">
        <v>25</v>
      </c>
      <c r="AQ611" s="187">
        <f>Limits!$K$9</f>
        <v>200</v>
      </c>
      <c r="AR611" s="124">
        <v>1200</v>
      </c>
      <c r="AS611" s="187"/>
      <c r="AT611" s="124"/>
      <c r="AV611"/>
      <c r="AX611" s="10"/>
      <c r="AY611" s="11"/>
      <c r="AZ611" s="2"/>
      <c r="BC611"/>
    </row>
    <row r="612" spans="1:55" hidden="1" x14ac:dyDescent="0.25">
      <c r="A612" s="12" t="str">
        <f ca="1">IF(F612+G612+H612+I612+J612+D612+E612=3,IF(Tabelle2[[#This Row],[Kappe Weiß]]=Limits!$R$29,1,""),"")</f>
        <v/>
      </c>
      <c r="B612" s="12" t="str">
        <f ca="1">IF(G612+H612+I612+J612+E612+F612=2,IF(Tabelle2[[#This Row],[Kappe Weiß]]=Limits!$R$29,1,""),"")</f>
        <v/>
      </c>
      <c r="C612" s="291">
        <v>1</v>
      </c>
      <c r="D612" s="171">
        <f>IF(Limits!$P$6=TRUE,1,0)</f>
        <v>0</v>
      </c>
      <c r="E612" s="172">
        <f>IF(Daten!$P612+Daten!$Q612+Daten!$S612=3,1,0)</f>
        <v>0</v>
      </c>
      <c r="F612" s="173">
        <f ca="1">IF(AND(Limits!$Q$21=TRUE,Daten!O612=1)=TRUE,1,0)</f>
        <v>0</v>
      </c>
      <c r="G612" s="174">
        <f>IF(AND(Limits!$Q$25=TRUE,Daten!N612=1)=TRUE,1,0)</f>
        <v>0</v>
      </c>
      <c r="H612" s="174">
        <f>IF(AND(Limits!$Q$24=TRUE,Daten!M612=1)=TRUE,1,0)</f>
        <v>0</v>
      </c>
      <c r="I612" s="174">
        <f>IF(AND(Limits!$Q$23=TRUE,Daten!L612=1)=TRUE,1,0)</f>
        <v>0</v>
      </c>
      <c r="J612" s="174">
        <f>IF(AND(Limits!$Q$22=TRUE,Daten!K612=1)=TRUE,1,0)</f>
        <v>0</v>
      </c>
      <c r="K612" s="188">
        <f>IF(Daten!$V612=13,1,0)</f>
        <v>1</v>
      </c>
      <c r="L612" s="189">
        <f>IF(Daten!$V612&lt;&gt;Daten!$W612,1,IF(Daten!$V612=14,1,0))</f>
        <v>0</v>
      </c>
      <c r="M612" s="189">
        <f>IF(Daten!$V612&lt;&gt;Daten!$W612,1,IF(Daten!$V612=16,1,0))</f>
        <v>0</v>
      </c>
      <c r="N612" s="189">
        <f>IF(Daten!$W612=17,1,0)</f>
        <v>0</v>
      </c>
      <c r="O612" s="190">
        <f ca="1">IF(Daten!$X612=Sprache!$A$70,1,0)</f>
        <v>0</v>
      </c>
      <c r="P612" s="191">
        <f>IF(AND(Daten!$AQ612&lt;=KINVARO!$AW$3,Daten!$AR612&gt;=KINVARO!$AW$3)=TRUE,1,0)</f>
        <v>1</v>
      </c>
      <c r="Q612" s="192">
        <f>IF(AND(Daten!$AA612&lt;=KINVARO!$AW$4,Daten!$AB612&gt;=KINVARO!$AW$4)=TRUE,1,0)</f>
        <v>0</v>
      </c>
      <c r="R612" s="192"/>
      <c r="S612" s="192">
        <f>IF(AND(Daten!$AD612&lt;=Limits!$I$70,Daten!$AE612&gt;=Limits!$I$70)=TRUE,1,0)</f>
        <v>0</v>
      </c>
      <c r="T612" s="193">
        <f ca="1">IF(Daten!$Y612=Sprache!$A$135,1,0)</f>
        <v>0</v>
      </c>
      <c r="U612" s="124" t="str">
        <f ca="1">Sprache!$A$68</f>
        <v>T-65 Поворотный подъемник</v>
      </c>
      <c r="V612" s="194">
        <v>13</v>
      </c>
      <c r="W612" s="193">
        <v>13</v>
      </c>
      <c r="X612" s="187" t="str">
        <f ca="1">Sprache!$A$141</f>
        <v>Alu</v>
      </c>
      <c r="Y612" s="187" t="str">
        <f ca="1">Sprache!$A$136</f>
        <v>nein</v>
      </c>
      <c r="Z612" s="187" t="str">
        <f ca="1">Sprache!$A$79</f>
        <v>Створка</v>
      </c>
      <c r="AA612" s="187">
        <v>300</v>
      </c>
      <c r="AB612" s="124">
        <v>349</v>
      </c>
      <c r="AC612" s="187"/>
      <c r="AD612" s="195">
        <v>0.7</v>
      </c>
      <c r="AE612" s="196">
        <v>1.7</v>
      </c>
      <c r="AF612" s="263" t="str">
        <f>MID(Tabelle2[[#This Row],[bnr full]],1,4)</f>
        <v>F151</v>
      </c>
      <c r="AG612" s="264" t="str">
        <f>MID(Tabelle2[[#This Row],[bnr full]],5,3)</f>
        <v>147</v>
      </c>
      <c r="AH612" s="265" t="str">
        <f>MID(Tabelle2[[#This Row],[bnr full]],8,3)</f>
        <v>798</v>
      </c>
      <c r="AI612" s="264" t="str">
        <f>MID(Tabelle2[[#This Row],[bnr full]],11,3)</f>
        <v>201</v>
      </c>
      <c r="AJ612" s="252" t="str">
        <f>MID(Tabelle2[[#This Row],[bnr full]],11,3)</f>
        <v>201</v>
      </c>
      <c r="AK612" s="197" t="s">
        <v>1668</v>
      </c>
      <c r="AL612" s="124" t="str">
        <f ca="1">Sprache!$A$111</f>
        <v>Комплект (Л + П)</v>
      </c>
      <c r="AM612" s="187" t="s">
        <v>25</v>
      </c>
      <c r="AN612" s="187" t="str">
        <f ca="1">Sprache!$A$129</f>
        <v>Пружина, желтая, односторонняя</v>
      </c>
      <c r="AO612" s="187" t="s">
        <v>25</v>
      </c>
      <c r="AP612" s="187" t="s">
        <v>25</v>
      </c>
      <c r="AQ612" s="187">
        <f>Limits!$K$9</f>
        <v>200</v>
      </c>
      <c r="AR612" s="124">
        <v>1200</v>
      </c>
      <c r="AS612" s="187"/>
      <c r="AT612" s="124"/>
      <c r="AV612"/>
      <c r="AX612" s="10"/>
      <c r="AY612" s="11"/>
      <c r="AZ612" s="2"/>
      <c r="BC612"/>
    </row>
    <row r="613" spans="1:55" hidden="1" x14ac:dyDescent="0.25">
      <c r="A613" s="12" t="str">
        <f ca="1">IF(F613+G613+H613+I613+J613+D613+E613=3,IF(Tabelle2[[#This Row],[Kappe Weiß]]=Limits!$R$29,1,""),"")</f>
        <v/>
      </c>
      <c r="B613" s="12" t="str">
        <f ca="1">IF(G613+H613+I613+J613+E613+F613=2,IF(Tabelle2[[#This Row],[Kappe Weiß]]=Limits!$R$29,1,""),"")</f>
        <v/>
      </c>
      <c r="C613" s="291">
        <v>1</v>
      </c>
      <c r="D613" s="171">
        <f>IF(Limits!$P$6=TRUE,1,0)</f>
        <v>0</v>
      </c>
      <c r="E613" s="172">
        <f>IF(Daten!$P613+Daten!$Q613+Daten!$S613=3,1,0)</f>
        <v>0</v>
      </c>
      <c r="F613" s="173">
        <f ca="1">IF(AND(Limits!$Q$21=TRUE,Daten!O613=1)=TRUE,1,0)</f>
        <v>0</v>
      </c>
      <c r="G613" s="174">
        <f>IF(AND(Limits!$Q$25=TRUE,Daten!N613=1)=TRUE,1,0)</f>
        <v>0</v>
      </c>
      <c r="H613" s="174">
        <f>IF(AND(Limits!$Q$24=TRUE,Daten!M613=1)=TRUE,1,0)</f>
        <v>0</v>
      </c>
      <c r="I613" s="174">
        <f>IF(AND(Limits!$Q$23=TRUE,Daten!L613=1)=TRUE,1,0)</f>
        <v>0</v>
      </c>
      <c r="J613" s="174">
        <f>IF(AND(Limits!$Q$22=TRUE,Daten!K613=1)=TRUE,1,0)</f>
        <v>0</v>
      </c>
      <c r="K613" s="188">
        <f>IF(Daten!$V613=13,1,0)</f>
        <v>1</v>
      </c>
      <c r="L613" s="189">
        <f>IF(Daten!$V613&lt;&gt;Daten!$W613,1,IF(Daten!$V613=14,1,0))</f>
        <v>0</v>
      </c>
      <c r="M613" s="189">
        <f>IF(Daten!$V613&lt;&gt;Daten!$W613,1,IF(Daten!$V613=16,1,0))</f>
        <v>0</v>
      </c>
      <c r="N613" s="189">
        <f>IF(Daten!$W613=17,1,0)</f>
        <v>0</v>
      </c>
      <c r="O613" s="190">
        <f ca="1">IF(Daten!$X613=Sprache!$A$70,1,0)</f>
        <v>0</v>
      </c>
      <c r="P613" s="191">
        <f>IF(AND(Daten!$AQ613&lt;=KINVARO!$AW$3,Daten!$AR613&gt;=KINVARO!$AW$3)=TRUE,1,0)</f>
        <v>1</v>
      </c>
      <c r="Q613" s="192">
        <f>IF(AND(Daten!$AA613&lt;=KINVARO!$AW$4,Daten!$AB613&gt;=KINVARO!$AW$4)=TRUE,1,0)</f>
        <v>0</v>
      </c>
      <c r="R613" s="192"/>
      <c r="S613" s="192">
        <f>IF(AND(Daten!$AD613&lt;=Limits!$I$70,Daten!$AE613&gt;=Limits!$I$70)=TRUE,1,0)</f>
        <v>0</v>
      </c>
      <c r="T613" s="193">
        <f ca="1">IF(Daten!$Y613=Sprache!$A$135,1,0)</f>
        <v>0</v>
      </c>
      <c r="U613" s="124" t="str">
        <f ca="1">Sprache!$A$68</f>
        <v>T-65 Поворотный подъемник</v>
      </c>
      <c r="V613" s="194">
        <v>13</v>
      </c>
      <c r="W613" s="193">
        <v>13</v>
      </c>
      <c r="X613" s="187" t="str">
        <f ca="1">Sprache!$A$141</f>
        <v>Alu</v>
      </c>
      <c r="Y613" s="187" t="str">
        <f ca="1">Sprache!$A$136</f>
        <v>nein</v>
      </c>
      <c r="Z613" s="187" t="str">
        <f ca="1">Sprache!$A$79</f>
        <v>Створка</v>
      </c>
      <c r="AA613" s="187">
        <v>300</v>
      </c>
      <c r="AB613" s="124">
        <v>349</v>
      </c>
      <c r="AC613" s="187"/>
      <c r="AD613" s="195">
        <v>1.4</v>
      </c>
      <c r="AE613" s="196">
        <v>3.4</v>
      </c>
      <c r="AF613" s="263" t="str">
        <f>MID(Tabelle2[[#This Row],[bnr full]],1,4)</f>
        <v>F151</v>
      </c>
      <c r="AG613" s="264" t="str">
        <f>MID(Tabelle2[[#This Row],[bnr full]],5,3)</f>
        <v>147</v>
      </c>
      <c r="AH613" s="265" t="str">
        <f>MID(Tabelle2[[#This Row],[bnr full]],8,3)</f>
        <v>798</v>
      </c>
      <c r="AI613" s="264" t="str">
        <f>MID(Tabelle2[[#This Row],[bnr full]],11,3)</f>
        <v>201</v>
      </c>
      <c r="AJ613" s="252" t="str">
        <f>MID(Tabelle2[[#This Row],[bnr full]],11,3)</f>
        <v>201</v>
      </c>
      <c r="AK613" s="197" t="s">
        <v>1668</v>
      </c>
      <c r="AL613" s="124" t="str">
        <f ca="1">Sprache!$A$111</f>
        <v>Комплект (Л + П)</v>
      </c>
      <c r="AM613" s="187" t="s">
        <v>25</v>
      </c>
      <c r="AN613" s="187" t="str">
        <f ca="1">Sprache!$A$130</f>
        <v>Пружина, желтая, двусторонняя</v>
      </c>
      <c r="AO613" s="187" t="s">
        <v>25</v>
      </c>
      <c r="AP613" s="187" t="s">
        <v>25</v>
      </c>
      <c r="AQ613" s="187">
        <f>Limits!$K$9</f>
        <v>200</v>
      </c>
      <c r="AR613" s="124">
        <v>1200</v>
      </c>
      <c r="AS613" s="187"/>
      <c r="AT613" s="124"/>
      <c r="AV613"/>
      <c r="AX613" s="10"/>
      <c r="AY613" s="11"/>
      <c r="AZ613" s="2"/>
      <c r="BC613"/>
    </row>
    <row r="614" spans="1:55" hidden="1" x14ac:dyDescent="0.25">
      <c r="A614" s="12" t="str">
        <f ca="1">IF(F614+G614+H614+I614+J614+D614+E614=3,IF(Tabelle2[[#This Row],[Kappe Weiß]]=Limits!$R$29,1,""),"")</f>
        <v/>
      </c>
      <c r="B614" s="12" t="str">
        <f ca="1">IF(G614+H614+I614+J614+E614+F614=2,IF(Tabelle2[[#This Row],[Kappe Weiß]]=Limits!$R$29,1,""),"")</f>
        <v/>
      </c>
      <c r="C614" s="291">
        <v>1</v>
      </c>
      <c r="D614" s="171">
        <f>IF(Limits!$P$6=TRUE,1,0)</f>
        <v>0</v>
      </c>
      <c r="E614" s="172">
        <f>IF(Daten!$P614+Daten!$Q614+Daten!$S614=3,1,0)</f>
        <v>0</v>
      </c>
      <c r="F614" s="173">
        <f ca="1">IF(AND(Limits!$Q$21=TRUE,Daten!O614=1)=TRUE,1,0)</f>
        <v>0</v>
      </c>
      <c r="G614" s="174">
        <f>IF(AND(Limits!$Q$25=TRUE,Daten!N614=1)=TRUE,1,0)</f>
        <v>0</v>
      </c>
      <c r="H614" s="174">
        <f>IF(AND(Limits!$Q$24=TRUE,Daten!M614=1)=TRUE,1,0)</f>
        <v>0</v>
      </c>
      <c r="I614" s="174">
        <f>IF(AND(Limits!$Q$23=TRUE,Daten!L614=1)=TRUE,1,0)</f>
        <v>0</v>
      </c>
      <c r="J614" s="174">
        <f>IF(AND(Limits!$Q$22=TRUE,Daten!K614=1)=TRUE,1,0)</f>
        <v>0</v>
      </c>
      <c r="K614" s="188">
        <f>IF(Daten!$V614=13,1,0)</f>
        <v>1</v>
      </c>
      <c r="L614" s="189">
        <f>IF(Daten!$V614&lt;&gt;Daten!$W614,1,IF(Daten!$V614=14,1,0))</f>
        <v>0</v>
      </c>
      <c r="M614" s="189">
        <f>IF(Daten!$V614&lt;&gt;Daten!$W614,1,IF(Daten!$V614=16,1,0))</f>
        <v>0</v>
      </c>
      <c r="N614" s="189">
        <f>IF(Daten!$W614=17,1,0)</f>
        <v>0</v>
      </c>
      <c r="O614" s="190">
        <f ca="1">IF(Daten!$X614=Sprache!$A$70,1,0)</f>
        <v>0</v>
      </c>
      <c r="P614" s="191">
        <f>IF(AND(Daten!$AQ614&lt;=KINVARO!$AW$3,Daten!$AR614&gt;=KINVARO!$AW$3)=TRUE,1,0)</f>
        <v>1</v>
      </c>
      <c r="Q614" s="192">
        <f>IF(AND(Daten!$AA614&lt;=KINVARO!$AW$4,Daten!$AB614&gt;=KINVARO!$AW$4)=TRUE,1,0)</f>
        <v>0</v>
      </c>
      <c r="R614" s="192"/>
      <c r="S614" s="192">
        <f>IF(AND(Daten!$AD614&lt;=Limits!$I$70,Daten!$AE614&gt;=Limits!$I$70)=TRUE,1,0)</f>
        <v>0</v>
      </c>
      <c r="T614" s="193">
        <f ca="1">IF(Daten!$Y614=Sprache!$A$135,1,0)</f>
        <v>0</v>
      </c>
      <c r="U614" s="124" t="str">
        <f ca="1">Sprache!$A$68</f>
        <v>T-65 Поворотный подъемник</v>
      </c>
      <c r="V614" s="194">
        <v>13</v>
      </c>
      <c r="W614" s="193">
        <v>13</v>
      </c>
      <c r="X614" s="187" t="str">
        <f ca="1">Sprache!$A$141</f>
        <v>Alu</v>
      </c>
      <c r="Y614" s="187" t="str">
        <f ca="1">Sprache!$A$136</f>
        <v>nein</v>
      </c>
      <c r="Z614" s="187" t="str">
        <f ca="1">Sprache!$A$79</f>
        <v>Створка</v>
      </c>
      <c r="AA614" s="187">
        <v>300</v>
      </c>
      <c r="AB614" s="124">
        <v>349</v>
      </c>
      <c r="AC614" s="187"/>
      <c r="AD614" s="195">
        <v>2</v>
      </c>
      <c r="AE614" s="196">
        <v>6.3</v>
      </c>
      <c r="AF614" s="263" t="str">
        <f>MID(Tabelle2[[#This Row],[bnr full]],1,4)</f>
        <v>F151</v>
      </c>
      <c r="AG614" s="264" t="str">
        <f>MID(Tabelle2[[#This Row],[bnr full]],5,3)</f>
        <v>147</v>
      </c>
      <c r="AH614" s="265" t="str">
        <f>MID(Tabelle2[[#This Row],[bnr full]],8,3)</f>
        <v>798</v>
      </c>
      <c r="AI614" s="264" t="str">
        <f>MID(Tabelle2[[#This Row],[bnr full]],11,3)</f>
        <v>201</v>
      </c>
      <c r="AJ614" s="252" t="str">
        <f>MID(Tabelle2[[#This Row],[bnr full]],11,3)</f>
        <v>201</v>
      </c>
      <c r="AK614" s="197" t="s">
        <v>1668</v>
      </c>
      <c r="AL614" s="124" t="str">
        <f ca="1">Sprache!$A$111</f>
        <v>Комплект (Л + П)</v>
      </c>
      <c r="AM614" s="187" t="s">
        <v>25</v>
      </c>
      <c r="AN614" s="187" t="str">
        <f ca="1">Sprache!$A$131</f>
        <v>Пружина, черная, двусторонняя</v>
      </c>
      <c r="AO614" s="187" t="s">
        <v>25</v>
      </c>
      <c r="AP614" s="187" t="s">
        <v>25</v>
      </c>
      <c r="AQ614" s="187">
        <f>Limits!$K$9</f>
        <v>200</v>
      </c>
      <c r="AR614" s="124">
        <v>1200</v>
      </c>
      <c r="AS614" s="187"/>
      <c r="AT614" s="124"/>
      <c r="AV614"/>
      <c r="AX614" s="10"/>
      <c r="AY614" s="11"/>
      <c r="AZ614" s="2"/>
      <c r="BC614"/>
    </row>
    <row r="615" spans="1:55" hidden="1" x14ac:dyDescent="0.25">
      <c r="A615" s="12" t="str">
        <f ca="1">IF(F615+G615+H615+I615+J615+D615+E615=3,IF(Tabelle2[[#This Row],[Kappe Weiß]]=Limits!$R$29,1,""),"")</f>
        <v/>
      </c>
      <c r="B615" s="12" t="str">
        <f ca="1">IF(G615+H615+I615+J615+E615+F615=2,IF(Tabelle2[[#This Row],[Kappe Weiß]]=Limits!$R$29,1,""),"")</f>
        <v/>
      </c>
      <c r="C615" s="291">
        <v>1</v>
      </c>
      <c r="D615" s="171">
        <f>IF(Limits!$P$6=TRUE,1,0)</f>
        <v>0</v>
      </c>
      <c r="E615" s="172">
        <f>IF(Daten!$P615+Daten!$Q615+Daten!$S615=3,1,0)</f>
        <v>0</v>
      </c>
      <c r="F615" s="173">
        <f ca="1">IF(AND(Limits!$Q$21=TRUE,Daten!O615=1)=TRUE,1,0)</f>
        <v>0</v>
      </c>
      <c r="G615" s="174">
        <f>IF(AND(Limits!$Q$25=TRUE,Daten!N615=1)=TRUE,1,0)</f>
        <v>0</v>
      </c>
      <c r="H615" s="174">
        <f>IF(AND(Limits!$Q$24=TRUE,Daten!M615=1)=TRUE,1,0)</f>
        <v>0</v>
      </c>
      <c r="I615" s="174">
        <f>IF(AND(Limits!$Q$23=TRUE,Daten!L615=1)=TRUE,1,0)</f>
        <v>0</v>
      </c>
      <c r="J615" s="174">
        <f>IF(AND(Limits!$Q$22=TRUE,Daten!K615=1)=TRUE,1,0)</f>
        <v>0</v>
      </c>
      <c r="K615" s="188">
        <f>IF(Daten!$V615=13,1,0)</f>
        <v>0</v>
      </c>
      <c r="L615" s="189">
        <f>IF(Daten!$V615&lt;&gt;Daten!$W615,1,IF(Daten!$V615=14,1,0))</f>
        <v>1</v>
      </c>
      <c r="M615" s="189">
        <f>IF(Daten!$V615&lt;&gt;Daten!$W615,1,IF(Daten!$V615=16,1,0))</f>
        <v>0</v>
      </c>
      <c r="N615" s="189">
        <f>IF(Daten!$W615=17,1,0)</f>
        <v>0</v>
      </c>
      <c r="O615" s="190">
        <f ca="1">IF(Daten!$X615=Sprache!$A$70,1,0)</f>
        <v>0</v>
      </c>
      <c r="P615" s="191">
        <f>IF(AND(Daten!$AQ615&lt;=KINVARO!$AW$3,Daten!$AR615&gt;=KINVARO!$AW$3)=TRUE,1,0)</f>
        <v>1</v>
      </c>
      <c r="Q615" s="192">
        <f>IF(AND(Daten!$AA615&lt;=KINVARO!$AW$4,Daten!$AB615&gt;=KINVARO!$AW$4)=TRUE,1,0)</f>
        <v>0</v>
      </c>
      <c r="R615" s="192"/>
      <c r="S615" s="192">
        <f>IF(AND(Daten!$AD615&lt;=Limits!$I$70,Daten!$AE615&gt;=Limits!$I$70)=TRUE,1,0)</f>
        <v>0</v>
      </c>
      <c r="T615" s="193">
        <f ca="1">IF(Daten!$Y615=Sprache!$A$135,1,0)</f>
        <v>0</v>
      </c>
      <c r="U615" s="124" t="str">
        <f ca="1">Sprache!$A$68</f>
        <v>T-65 Поворотный подъемник</v>
      </c>
      <c r="V615" s="194">
        <v>14</v>
      </c>
      <c r="W615" s="193">
        <v>14</v>
      </c>
      <c r="X615" s="187" t="str">
        <f ca="1">Sprache!$A$141</f>
        <v>Alu</v>
      </c>
      <c r="Y615" s="187" t="str">
        <f ca="1">Sprache!$A$136</f>
        <v>nein</v>
      </c>
      <c r="Z615" s="187" t="str">
        <f ca="1">Sprache!$A$79</f>
        <v>Створка</v>
      </c>
      <c r="AA615" s="187">
        <v>300</v>
      </c>
      <c r="AB615" s="124">
        <v>349</v>
      </c>
      <c r="AC615" s="187"/>
      <c r="AD615" s="195">
        <v>0.7</v>
      </c>
      <c r="AE615" s="196">
        <v>1.7</v>
      </c>
      <c r="AF615" s="263" t="str">
        <f>MID(Tabelle2[[#This Row],[bnr full]],1,4)</f>
        <v>F151</v>
      </c>
      <c r="AG615" s="264" t="str">
        <f>MID(Tabelle2[[#This Row],[bnr full]],5,3)</f>
        <v>147</v>
      </c>
      <c r="AH615" s="265" t="str">
        <f>MID(Tabelle2[[#This Row],[bnr full]],8,3)</f>
        <v>799</v>
      </c>
      <c r="AI615" s="264" t="str">
        <f>MID(Tabelle2[[#This Row],[bnr full]],11,3)</f>
        <v>201</v>
      </c>
      <c r="AJ615" s="252" t="str">
        <f>MID(Tabelle2[[#This Row],[bnr full]],11,3)</f>
        <v>201</v>
      </c>
      <c r="AK615" s="197" t="s">
        <v>1669</v>
      </c>
      <c r="AL615" s="124" t="str">
        <f ca="1">Sprache!$A$111</f>
        <v>Комплект (Л + П)</v>
      </c>
      <c r="AM615" s="187" t="s">
        <v>25</v>
      </c>
      <c r="AN615" s="187" t="str">
        <f ca="1">Sprache!$A$129</f>
        <v>Пружина, желтая, односторонняя</v>
      </c>
      <c r="AO615" s="187" t="s">
        <v>25</v>
      </c>
      <c r="AP615" s="187" t="s">
        <v>25</v>
      </c>
      <c r="AQ615" s="187">
        <f>Limits!$K$9</f>
        <v>200</v>
      </c>
      <c r="AR615" s="124">
        <v>1200</v>
      </c>
      <c r="AS615" s="187"/>
      <c r="AT615" s="124"/>
      <c r="AV615"/>
      <c r="AX615" s="10"/>
      <c r="AY615" s="11"/>
      <c r="AZ615" s="2"/>
      <c r="BC615"/>
    </row>
    <row r="616" spans="1:55" hidden="1" x14ac:dyDescent="0.25">
      <c r="A616" s="12" t="str">
        <f ca="1">IF(F616+G616+H616+I616+J616+D616+E616=3,IF(Tabelle2[[#This Row],[Kappe Weiß]]=Limits!$R$29,1,""),"")</f>
        <v/>
      </c>
      <c r="B616" s="12" t="str">
        <f ca="1">IF(G616+H616+I616+J616+E616+F616=2,IF(Tabelle2[[#This Row],[Kappe Weiß]]=Limits!$R$29,1,""),"")</f>
        <v/>
      </c>
      <c r="C616" s="291">
        <v>1</v>
      </c>
      <c r="D616" s="171">
        <f>IF(Limits!$P$6=TRUE,1,0)</f>
        <v>0</v>
      </c>
      <c r="E616" s="172">
        <f>IF(Daten!$P616+Daten!$Q616+Daten!$S616=3,1,0)</f>
        <v>0</v>
      </c>
      <c r="F616" s="173">
        <f ca="1">IF(AND(Limits!$Q$21=TRUE,Daten!O616=1)=TRUE,1,0)</f>
        <v>0</v>
      </c>
      <c r="G616" s="174">
        <f>IF(AND(Limits!$Q$25=TRUE,Daten!N616=1)=TRUE,1,0)</f>
        <v>0</v>
      </c>
      <c r="H616" s="174">
        <f>IF(AND(Limits!$Q$24=TRUE,Daten!M616=1)=TRUE,1,0)</f>
        <v>0</v>
      </c>
      <c r="I616" s="174">
        <f>IF(AND(Limits!$Q$23=TRUE,Daten!L616=1)=TRUE,1,0)</f>
        <v>0</v>
      </c>
      <c r="J616" s="174">
        <f>IF(AND(Limits!$Q$22=TRUE,Daten!K616=1)=TRUE,1,0)</f>
        <v>0</v>
      </c>
      <c r="K616" s="188">
        <f>IF(Daten!$V616=13,1,0)</f>
        <v>0</v>
      </c>
      <c r="L616" s="189">
        <f>IF(Daten!$V616&lt;&gt;Daten!$W616,1,IF(Daten!$V616=14,1,0))</f>
        <v>1</v>
      </c>
      <c r="M616" s="189">
        <f>IF(Daten!$V616&lt;&gt;Daten!$W616,1,IF(Daten!$V616=16,1,0))</f>
        <v>0</v>
      </c>
      <c r="N616" s="189">
        <f>IF(Daten!$W616=17,1,0)</f>
        <v>0</v>
      </c>
      <c r="O616" s="190">
        <f ca="1">IF(Daten!$X616=Sprache!$A$70,1,0)</f>
        <v>0</v>
      </c>
      <c r="P616" s="191">
        <f>IF(AND(Daten!$AQ616&lt;=KINVARO!$AW$3,Daten!$AR616&gt;=KINVARO!$AW$3)=TRUE,1,0)</f>
        <v>1</v>
      </c>
      <c r="Q616" s="192">
        <f>IF(AND(Daten!$AA616&lt;=KINVARO!$AW$4,Daten!$AB616&gt;=KINVARO!$AW$4)=TRUE,1,0)</f>
        <v>0</v>
      </c>
      <c r="R616" s="192"/>
      <c r="S616" s="192">
        <f>IF(AND(Daten!$AD616&lt;=Limits!$I$70,Daten!$AE616&gt;=Limits!$I$70)=TRUE,1,0)</f>
        <v>0</v>
      </c>
      <c r="T616" s="193">
        <f ca="1">IF(Daten!$Y616=Sprache!$A$135,1,0)</f>
        <v>0</v>
      </c>
      <c r="U616" s="124" t="str">
        <f ca="1">Sprache!$A$68</f>
        <v>T-65 Поворотный подъемник</v>
      </c>
      <c r="V616" s="194">
        <v>14</v>
      </c>
      <c r="W616" s="193">
        <v>14</v>
      </c>
      <c r="X616" s="187" t="str">
        <f ca="1">Sprache!$A$141</f>
        <v>Alu</v>
      </c>
      <c r="Y616" s="187" t="str">
        <f ca="1">Sprache!$A$136</f>
        <v>nein</v>
      </c>
      <c r="Z616" s="187" t="str">
        <f ca="1">Sprache!$A$79</f>
        <v>Створка</v>
      </c>
      <c r="AA616" s="187">
        <v>300</v>
      </c>
      <c r="AB616" s="124">
        <v>349</v>
      </c>
      <c r="AC616" s="187"/>
      <c r="AD616" s="195">
        <v>1.4</v>
      </c>
      <c r="AE616" s="196">
        <v>3.4</v>
      </c>
      <c r="AF616" s="263" t="str">
        <f>MID(Tabelle2[[#This Row],[bnr full]],1,4)</f>
        <v>F151</v>
      </c>
      <c r="AG616" s="264" t="str">
        <f>MID(Tabelle2[[#This Row],[bnr full]],5,3)</f>
        <v>147</v>
      </c>
      <c r="AH616" s="265" t="str">
        <f>MID(Tabelle2[[#This Row],[bnr full]],8,3)</f>
        <v>799</v>
      </c>
      <c r="AI616" s="264" t="str">
        <f>MID(Tabelle2[[#This Row],[bnr full]],11,3)</f>
        <v>201</v>
      </c>
      <c r="AJ616" s="252" t="str">
        <f>MID(Tabelle2[[#This Row],[bnr full]],11,3)</f>
        <v>201</v>
      </c>
      <c r="AK616" s="197" t="s">
        <v>1669</v>
      </c>
      <c r="AL616" s="124" t="str">
        <f ca="1">Sprache!$A$111</f>
        <v>Комплект (Л + П)</v>
      </c>
      <c r="AM616" s="187" t="s">
        <v>25</v>
      </c>
      <c r="AN616" s="187" t="str">
        <f ca="1">Sprache!$A$130</f>
        <v>Пружина, желтая, двусторонняя</v>
      </c>
      <c r="AO616" s="187" t="s">
        <v>25</v>
      </c>
      <c r="AP616" s="187" t="s">
        <v>25</v>
      </c>
      <c r="AQ616" s="187">
        <f>Limits!$K$9</f>
        <v>200</v>
      </c>
      <c r="AR616" s="124">
        <v>1200</v>
      </c>
      <c r="AS616" s="187"/>
      <c r="AT616" s="124"/>
      <c r="AV616"/>
      <c r="AX616" s="10"/>
      <c r="AY616" s="11"/>
      <c r="AZ616" s="2"/>
      <c r="BC616"/>
    </row>
    <row r="617" spans="1:55" hidden="1" x14ac:dyDescent="0.25">
      <c r="A617" s="12" t="str">
        <f ca="1">IF(F617+G617+H617+I617+J617+D617+E617=3,IF(Tabelle2[[#This Row],[Kappe Weiß]]=Limits!$R$29,1,""),"")</f>
        <v/>
      </c>
      <c r="B617" s="12" t="str">
        <f ca="1">IF(G617+H617+I617+J617+E617+F617=2,IF(Tabelle2[[#This Row],[Kappe Weiß]]=Limits!$R$29,1,""),"")</f>
        <v/>
      </c>
      <c r="C617" s="291">
        <v>1</v>
      </c>
      <c r="D617" s="171">
        <f>IF(Limits!$P$6=TRUE,1,0)</f>
        <v>0</v>
      </c>
      <c r="E617" s="172">
        <f>IF(Daten!$P617+Daten!$Q617+Daten!$S617=3,1,0)</f>
        <v>0</v>
      </c>
      <c r="F617" s="173">
        <f ca="1">IF(AND(Limits!$Q$21=TRUE,Daten!O617=1)=TRUE,1,0)</f>
        <v>0</v>
      </c>
      <c r="G617" s="174">
        <f>IF(AND(Limits!$Q$25=TRUE,Daten!N617=1)=TRUE,1,0)</f>
        <v>0</v>
      </c>
      <c r="H617" s="174">
        <f>IF(AND(Limits!$Q$24=TRUE,Daten!M617=1)=TRUE,1,0)</f>
        <v>0</v>
      </c>
      <c r="I617" s="174">
        <f>IF(AND(Limits!$Q$23=TRUE,Daten!L617=1)=TRUE,1,0)</f>
        <v>0</v>
      </c>
      <c r="J617" s="174">
        <f>IF(AND(Limits!$Q$22=TRUE,Daten!K617=1)=TRUE,1,0)</f>
        <v>0</v>
      </c>
      <c r="K617" s="188">
        <f>IF(Daten!$V617=13,1,0)</f>
        <v>0</v>
      </c>
      <c r="L617" s="189">
        <f>IF(Daten!$V617&lt;&gt;Daten!$W617,1,IF(Daten!$V617=14,1,0))</f>
        <v>1</v>
      </c>
      <c r="M617" s="189">
        <f>IF(Daten!$V617&lt;&gt;Daten!$W617,1,IF(Daten!$V617=16,1,0))</f>
        <v>0</v>
      </c>
      <c r="N617" s="189">
        <f>IF(Daten!$W617=17,1,0)</f>
        <v>0</v>
      </c>
      <c r="O617" s="190">
        <f ca="1">IF(Daten!$X617=Sprache!$A$70,1,0)</f>
        <v>0</v>
      </c>
      <c r="P617" s="191">
        <f>IF(AND(Daten!$AQ617&lt;=KINVARO!$AW$3,Daten!$AR617&gt;=KINVARO!$AW$3)=TRUE,1,0)</f>
        <v>1</v>
      </c>
      <c r="Q617" s="192">
        <f>IF(AND(Daten!$AA617&lt;=KINVARO!$AW$4,Daten!$AB617&gt;=KINVARO!$AW$4)=TRUE,1,0)</f>
        <v>0</v>
      </c>
      <c r="R617" s="192"/>
      <c r="S617" s="192">
        <f>IF(AND(Daten!$AD617&lt;=Limits!$I$70,Daten!$AE617&gt;=Limits!$I$70)=TRUE,1,0)</f>
        <v>0</v>
      </c>
      <c r="T617" s="193">
        <f ca="1">IF(Daten!$Y617=Sprache!$A$135,1,0)</f>
        <v>0</v>
      </c>
      <c r="U617" s="124" t="str">
        <f ca="1">Sprache!$A$68</f>
        <v>T-65 Поворотный подъемник</v>
      </c>
      <c r="V617" s="194">
        <v>14</v>
      </c>
      <c r="W617" s="193">
        <v>14</v>
      </c>
      <c r="X617" s="187" t="str">
        <f ca="1">Sprache!$A$141</f>
        <v>Alu</v>
      </c>
      <c r="Y617" s="187" t="str">
        <f ca="1">Sprache!$A$136</f>
        <v>nein</v>
      </c>
      <c r="Z617" s="187" t="str">
        <f ca="1">Sprache!$A$79</f>
        <v>Створка</v>
      </c>
      <c r="AA617" s="187">
        <v>300</v>
      </c>
      <c r="AB617" s="124">
        <v>349</v>
      </c>
      <c r="AC617" s="187"/>
      <c r="AD617" s="195">
        <v>2</v>
      </c>
      <c r="AE617" s="196">
        <v>6.3</v>
      </c>
      <c r="AF617" s="263" t="str">
        <f>MID(Tabelle2[[#This Row],[bnr full]],1,4)</f>
        <v>F151</v>
      </c>
      <c r="AG617" s="264" t="str">
        <f>MID(Tabelle2[[#This Row],[bnr full]],5,3)</f>
        <v>147</v>
      </c>
      <c r="AH617" s="265" t="str">
        <f>MID(Tabelle2[[#This Row],[bnr full]],8,3)</f>
        <v>799</v>
      </c>
      <c r="AI617" s="264" t="str">
        <f>MID(Tabelle2[[#This Row],[bnr full]],11,3)</f>
        <v>201</v>
      </c>
      <c r="AJ617" s="252" t="str">
        <f>MID(Tabelle2[[#This Row],[bnr full]],11,3)</f>
        <v>201</v>
      </c>
      <c r="AK617" s="197" t="s">
        <v>1669</v>
      </c>
      <c r="AL617" s="124" t="str">
        <f ca="1">Sprache!$A$111</f>
        <v>Комплект (Л + П)</v>
      </c>
      <c r="AM617" s="187" t="s">
        <v>25</v>
      </c>
      <c r="AN617" s="187" t="str">
        <f ca="1">Sprache!$A$131</f>
        <v>Пружина, черная, двусторонняя</v>
      </c>
      <c r="AO617" s="187" t="s">
        <v>25</v>
      </c>
      <c r="AP617" s="187" t="s">
        <v>25</v>
      </c>
      <c r="AQ617" s="187">
        <f>Limits!$K$9</f>
        <v>200</v>
      </c>
      <c r="AR617" s="124">
        <v>1200</v>
      </c>
      <c r="AS617" s="187"/>
      <c r="AT617" s="124"/>
      <c r="AV617"/>
      <c r="AX617" s="10"/>
      <c r="AY617" s="11"/>
      <c r="AZ617" s="2"/>
      <c r="BC617"/>
    </row>
    <row r="618" spans="1:55" hidden="1" x14ac:dyDescent="0.25">
      <c r="A618" s="12" t="str">
        <f ca="1">IF(F618+G618+H618+I618+J618+D618+E618=3,IF(Tabelle2[[#This Row],[Kappe Weiß]]=Limits!$R$29,1,""),"")</f>
        <v/>
      </c>
      <c r="B618" s="12" t="str">
        <f ca="1">IF(G618+H618+I618+J618+E618+F618=2,IF(Tabelle2[[#This Row],[Kappe Weiß]]=Limits!$R$29,1,""),"")</f>
        <v/>
      </c>
      <c r="C618" s="291">
        <v>1</v>
      </c>
      <c r="D618" s="171">
        <f>IF(Limits!$P$6=TRUE,1,0)</f>
        <v>0</v>
      </c>
      <c r="E618" s="172">
        <f>IF(Daten!$P618+Daten!$Q618+Daten!$S618=3,1,0)</f>
        <v>0</v>
      </c>
      <c r="F618" s="173">
        <f ca="1">IF(AND(Limits!$Q$21=TRUE,Daten!O618=1)=TRUE,1,0)</f>
        <v>0</v>
      </c>
      <c r="G618" s="174">
        <f>IF(AND(Limits!$Q$25=TRUE,Daten!N618=1)=TRUE,1,0)</f>
        <v>0</v>
      </c>
      <c r="H618" s="174">
        <f>IF(AND(Limits!$Q$24=TRUE,Daten!M618=1)=TRUE,1,0)</f>
        <v>0</v>
      </c>
      <c r="I618" s="174">
        <f>IF(AND(Limits!$Q$23=TRUE,Daten!L618=1)=TRUE,1,0)</f>
        <v>0</v>
      </c>
      <c r="J618" s="174">
        <f>IF(AND(Limits!$Q$22=TRUE,Daten!K618=1)=TRUE,1,0)</f>
        <v>0</v>
      </c>
      <c r="K618" s="188">
        <f>IF(Daten!$V618=13,1,0)</f>
        <v>0</v>
      </c>
      <c r="L618" s="189">
        <f>IF(Daten!$V618&lt;&gt;Daten!$W618,1,IF(Daten!$V618=14,1,0))</f>
        <v>0</v>
      </c>
      <c r="M618" s="189">
        <f>IF(Daten!$V618&lt;&gt;Daten!$W618,1,IF(Daten!$V618=16,1,0))</f>
        <v>1</v>
      </c>
      <c r="N618" s="189">
        <f>IF(Daten!$W618=17,1,0)</f>
        <v>0</v>
      </c>
      <c r="O618" s="190">
        <f ca="1">IF(Daten!$X618=Sprache!$A$70,1,0)</f>
        <v>0</v>
      </c>
      <c r="P618" s="191">
        <f>IF(AND(Daten!$AQ618&lt;=KINVARO!$AW$3,Daten!$AR618&gt;=KINVARO!$AW$3)=TRUE,1,0)</f>
        <v>1</v>
      </c>
      <c r="Q618" s="192">
        <f>IF(AND(Daten!$AA618&lt;=KINVARO!$AW$4,Daten!$AB618&gt;=KINVARO!$AW$4)=TRUE,1,0)</f>
        <v>0</v>
      </c>
      <c r="R618" s="192"/>
      <c r="S618" s="192">
        <f>IF(AND(Daten!$AD618&lt;=Limits!$I$70,Daten!$AE618&gt;=Limits!$I$70)=TRUE,1,0)</f>
        <v>0</v>
      </c>
      <c r="T618" s="193">
        <f ca="1">IF(Daten!$Y618=Sprache!$A$135,1,0)</f>
        <v>0</v>
      </c>
      <c r="U618" s="124" t="str">
        <f ca="1">Sprache!$A$68</f>
        <v>T-65 Поворотный подъемник</v>
      </c>
      <c r="V618" s="194">
        <v>16</v>
      </c>
      <c r="W618" s="193">
        <v>16</v>
      </c>
      <c r="X618" s="187" t="str">
        <f ca="1">Sprache!$A$141</f>
        <v>Alu</v>
      </c>
      <c r="Y618" s="187" t="str">
        <f ca="1">Sprache!$A$136</f>
        <v>nein</v>
      </c>
      <c r="Z618" s="187" t="str">
        <f ca="1">Sprache!$A$79</f>
        <v>Створка</v>
      </c>
      <c r="AA618" s="187">
        <v>300</v>
      </c>
      <c r="AB618" s="124">
        <v>349</v>
      </c>
      <c r="AC618" s="187"/>
      <c r="AD618" s="195">
        <v>0.7</v>
      </c>
      <c r="AE618" s="196">
        <v>1.7</v>
      </c>
      <c r="AF618" s="263" t="str">
        <f>MID(Tabelle2[[#This Row],[bnr full]],1,4)</f>
        <v>F151</v>
      </c>
      <c r="AG618" s="264" t="str">
        <f>MID(Tabelle2[[#This Row],[bnr full]],5,3)</f>
        <v>147</v>
      </c>
      <c r="AH618" s="265" t="str">
        <f>MID(Tabelle2[[#This Row],[bnr full]],8,3)</f>
        <v>800</v>
      </c>
      <c r="AI618" s="264" t="str">
        <f>MID(Tabelle2[[#This Row],[bnr full]],11,3)</f>
        <v>201</v>
      </c>
      <c r="AJ618" s="252" t="str">
        <f>MID(Tabelle2[[#This Row],[bnr full]],11,3)</f>
        <v>201</v>
      </c>
      <c r="AK618" s="197" t="s">
        <v>1670</v>
      </c>
      <c r="AL618" s="124" t="str">
        <f ca="1">Sprache!$A$111</f>
        <v>Комплект (Л + П)</v>
      </c>
      <c r="AM618" s="187" t="s">
        <v>25</v>
      </c>
      <c r="AN618" s="187" t="str">
        <f ca="1">Sprache!$A$129</f>
        <v>Пружина, желтая, односторонняя</v>
      </c>
      <c r="AO618" s="187" t="s">
        <v>25</v>
      </c>
      <c r="AP618" s="187" t="s">
        <v>25</v>
      </c>
      <c r="AQ618" s="187">
        <f>Limits!$K$9</f>
        <v>200</v>
      </c>
      <c r="AR618" s="124">
        <v>1200</v>
      </c>
      <c r="AS618" s="187"/>
      <c r="AT618" s="124"/>
      <c r="AV618"/>
      <c r="AX618" s="10"/>
      <c r="AY618" s="11"/>
      <c r="AZ618" s="2"/>
      <c r="BC618"/>
    </row>
    <row r="619" spans="1:55" hidden="1" x14ac:dyDescent="0.25">
      <c r="A619" s="12" t="str">
        <f ca="1">IF(F619+G619+H619+I619+J619+D619+E619=3,IF(Tabelle2[[#This Row],[Kappe Weiß]]=Limits!$R$29,1,""),"")</f>
        <v/>
      </c>
      <c r="B619" s="12" t="str">
        <f ca="1">IF(G619+H619+I619+J619+E619+F619=2,IF(Tabelle2[[#This Row],[Kappe Weiß]]=Limits!$R$29,1,""),"")</f>
        <v/>
      </c>
      <c r="C619" s="291">
        <v>1</v>
      </c>
      <c r="D619" s="171">
        <f>IF(Limits!$P$6=TRUE,1,0)</f>
        <v>0</v>
      </c>
      <c r="E619" s="172">
        <f>IF(Daten!$P619+Daten!$Q619+Daten!$S619=3,1,0)</f>
        <v>0</v>
      </c>
      <c r="F619" s="173">
        <f ca="1">IF(AND(Limits!$Q$21=TRUE,Daten!O619=1)=TRUE,1,0)</f>
        <v>0</v>
      </c>
      <c r="G619" s="174">
        <f>IF(AND(Limits!$Q$25=TRUE,Daten!N619=1)=TRUE,1,0)</f>
        <v>0</v>
      </c>
      <c r="H619" s="174">
        <f>IF(AND(Limits!$Q$24=TRUE,Daten!M619=1)=TRUE,1,0)</f>
        <v>0</v>
      </c>
      <c r="I619" s="174">
        <f>IF(AND(Limits!$Q$23=TRUE,Daten!L619=1)=TRUE,1,0)</f>
        <v>0</v>
      </c>
      <c r="J619" s="174">
        <f>IF(AND(Limits!$Q$22=TRUE,Daten!K619=1)=TRUE,1,0)</f>
        <v>0</v>
      </c>
      <c r="K619" s="188">
        <f>IF(Daten!$V619=13,1,0)</f>
        <v>0</v>
      </c>
      <c r="L619" s="189">
        <f>IF(Daten!$V619&lt;&gt;Daten!$W619,1,IF(Daten!$V619=14,1,0))</f>
        <v>0</v>
      </c>
      <c r="M619" s="189">
        <f>IF(Daten!$V619&lt;&gt;Daten!$W619,1,IF(Daten!$V619=16,1,0))</f>
        <v>1</v>
      </c>
      <c r="N619" s="189">
        <f>IF(Daten!$W619=17,1,0)</f>
        <v>0</v>
      </c>
      <c r="O619" s="190">
        <f ca="1">IF(Daten!$X619=Sprache!$A$70,1,0)</f>
        <v>0</v>
      </c>
      <c r="P619" s="191">
        <f>IF(AND(Daten!$AQ619&lt;=KINVARO!$AW$3,Daten!$AR619&gt;=KINVARO!$AW$3)=TRUE,1,0)</f>
        <v>1</v>
      </c>
      <c r="Q619" s="192">
        <f>IF(AND(Daten!$AA619&lt;=KINVARO!$AW$4,Daten!$AB619&gt;=KINVARO!$AW$4)=TRUE,1,0)</f>
        <v>0</v>
      </c>
      <c r="R619" s="192"/>
      <c r="S619" s="192">
        <f>IF(AND(Daten!$AD619&lt;=Limits!$I$70,Daten!$AE619&gt;=Limits!$I$70)=TRUE,1,0)</f>
        <v>0</v>
      </c>
      <c r="T619" s="193">
        <f ca="1">IF(Daten!$Y619=Sprache!$A$135,1,0)</f>
        <v>0</v>
      </c>
      <c r="U619" s="124" t="str">
        <f ca="1">Sprache!$A$68</f>
        <v>T-65 Поворотный подъемник</v>
      </c>
      <c r="V619" s="194">
        <v>16</v>
      </c>
      <c r="W619" s="193">
        <v>16</v>
      </c>
      <c r="X619" s="187" t="str">
        <f ca="1">Sprache!$A$141</f>
        <v>Alu</v>
      </c>
      <c r="Y619" s="187" t="str">
        <f ca="1">Sprache!$A$136</f>
        <v>nein</v>
      </c>
      <c r="Z619" s="187" t="str">
        <f ca="1">Sprache!$A$79</f>
        <v>Створка</v>
      </c>
      <c r="AA619" s="187">
        <v>300</v>
      </c>
      <c r="AB619" s="124">
        <v>349</v>
      </c>
      <c r="AC619" s="187"/>
      <c r="AD619" s="195">
        <v>1.4</v>
      </c>
      <c r="AE619" s="196">
        <v>3.4</v>
      </c>
      <c r="AF619" s="263" t="str">
        <f>MID(Tabelle2[[#This Row],[bnr full]],1,4)</f>
        <v>F151</v>
      </c>
      <c r="AG619" s="264" t="str">
        <f>MID(Tabelle2[[#This Row],[bnr full]],5,3)</f>
        <v>147</v>
      </c>
      <c r="AH619" s="265" t="str">
        <f>MID(Tabelle2[[#This Row],[bnr full]],8,3)</f>
        <v>800</v>
      </c>
      <c r="AI619" s="264" t="str">
        <f>MID(Tabelle2[[#This Row],[bnr full]],11,3)</f>
        <v>201</v>
      </c>
      <c r="AJ619" s="252" t="str">
        <f>MID(Tabelle2[[#This Row],[bnr full]],11,3)</f>
        <v>201</v>
      </c>
      <c r="AK619" s="197" t="s">
        <v>1670</v>
      </c>
      <c r="AL619" s="124" t="str">
        <f ca="1">Sprache!$A$111</f>
        <v>Комплект (Л + П)</v>
      </c>
      <c r="AM619" s="187" t="s">
        <v>25</v>
      </c>
      <c r="AN619" s="187" t="str">
        <f ca="1">Sprache!$A$130</f>
        <v>Пружина, желтая, двусторонняя</v>
      </c>
      <c r="AO619" s="187" t="s">
        <v>25</v>
      </c>
      <c r="AP619" s="187" t="s">
        <v>25</v>
      </c>
      <c r="AQ619" s="187">
        <f>Limits!$K$9</f>
        <v>200</v>
      </c>
      <c r="AR619" s="124">
        <v>1200</v>
      </c>
      <c r="AS619" s="187"/>
      <c r="AT619" s="124"/>
      <c r="AV619"/>
      <c r="AX619" s="10"/>
      <c r="AY619" s="11"/>
      <c r="AZ619" s="2"/>
      <c r="BC619"/>
    </row>
    <row r="620" spans="1:55" hidden="1" x14ac:dyDescent="0.25">
      <c r="A620" s="12" t="str">
        <f ca="1">IF(F620+G620+H620+I620+J620+D620+E620=3,IF(Tabelle2[[#This Row],[Kappe Weiß]]=Limits!$R$29,1,""),"")</f>
        <v/>
      </c>
      <c r="B620" s="12" t="str">
        <f ca="1">IF(G620+H620+I620+J620+E620+F620=2,IF(Tabelle2[[#This Row],[Kappe Weiß]]=Limits!$R$29,1,""),"")</f>
        <v/>
      </c>
      <c r="C620" s="291">
        <v>1</v>
      </c>
      <c r="D620" s="171">
        <f>IF(Limits!$P$6=TRUE,1,0)</f>
        <v>0</v>
      </c>
      <c r="E620" s="172">
        <f>IF(Daten!$P620+Daten!$Q620+Daten!$S620=3,1,0)</f>
        <v>0</v>
      </c>
      <c r="F620" s="173">
        <f ca="1">IF(AND(Limits!$Q$21=TRUE,Daten!O620=1)=TRUE,1,0)</f>
        <v>0</v>
      </c>
      <c r="G620" s="174">
        <f>IF(AND(Limits!$Q$25=TRUE,Daten!N620=1)=TRUE,1,0)</f>
        <v>0</v>
      </c>
      <c r="H620" s="174">
        <f>IF(AND(Limits!$Q$24=TRUE,Daten!M620=1)=TRUE,1,0)</f>
        <v>0</v>
      </c>
      <c r="I620" s="174">
        <f>IF(AND(Limits!$Q$23=TRUE,Daten!L620=1)=TRUE,1,0)</f>
        <v>0</v>
      </c>
      <c r="J620" s="174">
        <f>IF(AND(Limits!$Q$22=TRUE,Daten!K620=1)=TRUE,1,0)</f>
        <v>0</v>
      </c>
      <c r="K620" s="188">
        <f>IF(Daten!$V620=13,1,0)</f>
        <v>0</v>
      </c>
      <c r="L620" s="189">
        <f>IF(Daten!$V620&lt;&gt;Daten!$W620,1,IF(Daten!$V620=14,1,0))</f>
        <v>0</v>
      </c>
      <c r="M620" s="189">
        <f>IF(Daten!$V620&lt;&gt;Daten!$W620,1,IF(Daten!$V620=16,1,0))</f>
        <v>1</v>
      </c>
      <c r="N620" s="189">
        <f>IF(Daten!$W620=17,1,0)</f>
        <v>0</v>
      </c>
      <c r="O620" s="190">
        <f ca="1">IF(Daten!$X620=Sprache!$A$70,1,0)</f>
        <v>0</v>
      </c>
      <c r="P620" s="191">
        <f>IF(AND(Daten!$AQ620&lt;=KINVARO!$AW$3,Daten!$AR620&gt;=KINVARO!$AW$3)=TRUE,1,0)</f>
        <v>1</v>
      </c>
      <c r="Q620" s="192">
        <f>IF(AND(Daten!$AA620&lt;=KINVARO!$AW$4,Daten!$AB620&gt;=KINVARO!$AW$4)=TRUE,1,0)</f>
        <v>0</v>
      </c>
      <c r="R620" s="192"/>
      <c r="S620" s="192">
        <f>IF(AND(Daten!$AD620&lt;=Limits!$I$70,Daten!$AE620&gt;=Limits!$I$70)=TRUE,1,0)</f>
        <v>0</v>
      </c>
      <c r="T620" s="193">
        <f ca="1">IF(Daten!$Y620=Sprache!$A$135,1,0)</f>
        <v>0</v>
      </c>
      <c r="U620" s="124" t="str">
        <f ca="1">Sprache!$A$68</f>
        <v>T-65 Поворотный подъемник</v>
      </c>
      <c r="V620" s="194">
        <v>16</v>
      </c>
      <c r="W620" s="193">
        <v>16</v>
      </c>
      <c r="X620" s="187" t="str">
        <f ca="1">Sprache!$A$141</f>
        <v>Alu</v>
      </c>
      <c r="Y620" s="187" t="str">
        <f ca="1">Sprache!$A$136</f>
        <v>nein</v>
      </c>
      <c r="Z620" s="187" t="str">
        <f ca="1">Sprache!$A$79</f>
        <v>Створка</v>
      </c>
      <c r="AA620" s="187">
        <v>300</v>
      </c>
      <c r="AB620" s="124">
        <v>349</v>
      </c>
      <c r="AC620" s="187"/>
      <c r="AD620" s="195">
        <v>2</v>
      </c>
      <c r="AE620" s="196">
        <v>6.3</v>
      </c>
      <c r="AF620" s="263" t="str">
        <f>MID(Tabelle2[[#This Row],[bnr full]],1,4)</f>
        <v>F151</v>
      </c>
      <c r="AG620" s="264" t="str">
        <f>MID(Tabelle2[[#This Row],[bnr full]],5,3)</f>
        <v>147</v>
      </c>
      <c r="AH620" s="265" t="str">
        <f>MID(Tabelle2[[#This Row],[bnr full]],8,3)</f>
        <v>800</v>
      </c>
      <c r="AI620" s="264" t="str">
        <f>MID(Tabelle2[[#This Row],[bnr full]],11,3)</f>
        <v>201</v>
      </c>
      <c r="AJ620" s="252" t="str">
        <f>MID(Tabelle2[[#This Row],[bnr full]],11,3)</f>
        <v>201</v>
      </c>
      <c r="AK620" s="197" t="s">
        <v>1670</v>
      </c>
      <c r="AL620" s="124" t="str">
        <f ca="1">Sprache!$A$111</f>
        <v>Комплект (Л + П)</v>
      </c>
      <c r="AM620" s="187" t="s">
        <v>25</v>
      </c>
      <c r="AN620" s="187" t="str">
        <f ca="1">Sprache!$A$131</f>
        <v>Пружина, черная, двусторонняя</v>
      </c>
      <c r="AO620" s="187" t="s">
        <v>25</v>
      </c>
      <c r="AP620" s="187" t="s">
        <v>25</v>
      </c>
      <c r="AQ620" s="187">
        <f>Limits!$K$9</f>
        <v>200</v>
      </c>
      <c r="AR620" s="124">
        <v>1200</v>
      </c>
      <c r="AS620" s="187"/>
      <c r="AT620" s="124"/>
      <c r="AV620"/>
      <c r="AX620" s="10"/>
      <c r="AY620" s="11"/>
      <c r="AZ620" s="2"/>
      <c r="BC620"/>
    </row>
    <row r="621" spans="1:55" hidden="1" x14ac:dyDescent="0.25">
      <c r="A621" s="12" t="str">
        <f ca="1">IF(F621+G621+H621+I621+J621+D621+E621=3,IF(Tabelle2[[#This Row],[Kappe Weiß]]=Limits!$R$29,1,""),"")</f>
        <v/>
      </c>
      <c r="B621" s="12" t="str">
        <f ca="1">IF(G621+H621+I621+J621+E621+F621=2,IF(Tabelle2[[#This Row],[Kappe Weiß]]=Limits!$R$29,1,""),"")</f>
        <v/>
      </c>
      <c r="C621" s="291">
        <v>1</v>
      </c>
      <c r="D621" s="171">
        <f>IF(Limits!$P$6=TRUE,1,0)</f>
        <v>0</v>
      </c>
      <c r="E621" s="172">
        <f>IF(Daten!$P621+Daten!$Q621+Daten!$S621=3,1,0)</f>
        <v>0</v>
      </c>
      <c r="F621" s="173">
        <f ca="1">IF(AND(Limits!$Q$21=TRUE,Daten!O621=1)=TRUE,1,0)</f>
        <v>0</v>
      </c>
      <c r="G621" s="174">
        <f>IF(AND(Limits!$Q$25=TRUE,Daten!N621=1)=TRUE,1,0)</f>
        <v>0</v>
      </c>
      <c r="H621" s="174">
        <f>IF(AND(Limits!$Q$24=TRUE,Daten!M621=1)=TRUE,1,0)</f>
        <v>0</v>
      </c>
      <c r="I621" s="174">
        <f>IF(AND(Limits!$Q$23=TRUE,Daten!L621=1)=TRUE,1,0)</f>
        <v>0</v>
      </c>
      <c r="J621" s="174">
        <f>IF(AND(Limits!$Q$22=TRUE,Daten!K621=1)=TRUE,1,0)</f>
        <v>0</v>
      </c>
      <c r="K621" s="188">
        <f>IF(Daten!$V621=13,1,0)</f>
        <v>0</v>
      </c>
      <c r="L621" s="189">
        <f>IF(Daten!$V621&lt;&gt;Daten!$W621,1,IF(Daten!$V621=14,1,0))</f>
        <v>0</v>
      </c>
      <c r="M621" s="189">
        <f>IF(Daten!$V621&lt;&gt;Daten!$W621,1,IF(Daten!$V621=16,1,0))</f>
        <v>0</v>
      </c>
      <c r="N621" s="189">
        <f>IF(Daten!$W621=17,1,0)</f>
        <v>1</v>
      </c>
      <c r="O621" s="190">
        <f ca="1">IF(Daten!$X621=Sprache!$A$70,1,0)</f>
        <v>0</v>
      </c>
      <c r="P621" s="191">
        <f>IF(AND(Daten!$AQ621&lt;=KINVARO!$AW$3,Daten!$AR621&gt;=KINVARO!$AW$3)=TRUE,1,0)</f>
        <v>1</v>
      </c>
      <c r="Q621" s="192">
        <f>IF(AND(Daten!$AA621&lt;=KINVARO!$AW$4,Daten!$AB621&gt;=KINVARO!$AW$4)=TRUE,1,0)</f>
        <v>0</v>
      </c>
      <c r="R621" s="192"/>
      <c r="S621" s="192">
        <f>IF(AND(Daten!$AD621&lt;=Limits!$I$70,Daten!$AE621&gt;=Limits!$I$70)=TRUE,1,0)</f>
        <v>0</v>
      </c>
      <c r="T621" s="193">
        <f ca="1">IF(Daten!$Y621=Sprache!$A$135,1,0)</f>
        <v>0</v>
      </c>
      <c r="U621" s="124" t="str">
        <f ca="1">Sprache!$A$68</f>
        <v>T-65 Поворотный подъемник</v>
      </c>
      <c r="V621" s="194">
        <v>17</v>
      </c>
      <c r="W621" s="193">
        <v>17</v>
      </c>
      <c r="X621" s="187" t="str">
        <f ca="1">Sprache!$A$141</f>
        <v>Alu</v>
      </c>
      <c r="Y621" s="187" t="str">
        <f ca="1">Sprache!$A$136</f>
        <v>nein</v>
      </c>
      <c r="Z621" s="187" t="str">
        <f ca="1">Sprache!$A$79</f>
        <v>Створка</v>
      </c>
      <c r="AA621" s="187">
        <v>300</v>
      </c>
      <c r="AB621" s="124">
        <v>349</v>
      </c>
      <c r="AC621" s="187"/>
      <c r="AD621" s="195">
        <v>0.7</v>
      </c>
      <c r="AE621" s="196">
        <v>1.7</v>
      </c>
      <c r="AF621" s="263" t="str">
        <f>MID(Tabelle2[[#This Row],[bnr full]],1,4)</f>
        <v>F151</v>
      </c>
      <c r="AG621" s="264" t="str">
        <f>MID(Tabelle2[[#This Row],[bnr full]],5,3)</f>
        <v>147</v>
      </c>
      <c r="AH621" s="265" t="str">
        <f>MID(Tabelle2[[#This Row],[bnr full]],8,3)</f>
        <v>801</v>
      </c>
      <c r="AI621" s="264" t="str">
        <f>MID(Tabelle2[[#This Row],[bnr full]],11,3)</f>
        <v>201</v>
      </c>
      <c r="AJ621" s="252" t="str">
        <f>MID(Tabelle2[[#This Row],[bnr full]],11,3)</f>
        <v>201</v>
      </c>
      <c r="AK621" s="197" t="s">
        <v>1671</v>
      </c>
      <c r="AL621" s="124" t="str">
        <f ca="1">Sprache!$A$111</f>
        <v>Комплект (Л + П)</v>
      </c>
      <c r="AM621" s="187" t="s">
        <v>25</v>
      </c>
      <c r="AN621" s="187" t="str">
        <f ca="1">Sprache!$A$129</f>
        <v>Пружина, желтая, односторонняя</v>
      </c>
      <c r="AO621" s="187" t="s">
        <v>25</v>
      </c>
      <c r="AP621" s="187" t="s">
        <v>25</v>
      </c>
      <c r="AQ621" s="187">
        <f>Limits!$K$9</f>
        <v>200</v>
      </c>
      <c r="AR621" s="124">
        <v>1200</v>
      </c>
      <c r="AS621" s="187"/>
      <c r="AT621" s="124"/>
      <c r="AV621"/>
      <c r="AX621" s="10"/>
      <c r="AY621" s="11"/>
      <c r="AZ621" s="2"/>
      <c r="BC621"/>
    </row>
    <row r="622" spans="1:55" hidden="1" x14ac:dyDescent="0.25">
      <c r="A622" s="12" t="str">
        <f ca="1">IF(F622+G622+H622+I622+J622+D622+E622=3,IF(Tabelle2[[#This Row],[Kappe Weiß]]=Limits!$R$29,1,""),"")</f>
        <v/>
      </c>
      <c r="B622" s="12" t="str">
        <f ca="1">IF(G622+H622+I622+J622+E622+F622=2,IF(Tabelle2[[#This Row],[Kappe Weiß]]=Limits!$R$29,1,""),"")</f>
        <v/>
      </c>
      <c r="C622" s="291">
        <v>1</v>
      </c>
      <c r="D622" s="171">
        <f>IF(Limits!$P$6=TRUE,1,0)</f>
        <v>0</v>
      </c>
      <c r="E622" s="172">
        <f>IF(Daten!$P622+Daten!$Q622+Daten!$S622=3,1,0)</f>
        <v>0</v>
      </c>
      <c r="F622" s="173">
        <f ca="1">IF(AND(Limits!$Q$21=TRUE,Daten!O622=1)=TRUE,1,0)</f>
        <v>0</v>
      </c>
      <c r="G622" s="174">
        <f>IF(AND(Limits!$Q$25=TRUE,Daten!N622=1)=TRUE,1,0)</f>
        <v>0</v>
      </c>
      <c r="H622" s="174">
        <f>IF(AND(Limits!$Q$24=TRUE,Daten!M622=1)=TRUE,1,0)</f>
        <v>0</v>
      </c>
      <c r="I622" s="174">
        <f>IF(AND(Limits!$Q$23=TRUE,Daten!L622=1)=TRUE,1,0)</f>
        <v>0</v>
      </c>
      <c r="J622" s="174">
        <f>IF(AND(Limits!$Q$22=TRUE,Daten!K622=1)=TRUE,1,0)</f>
        <v>0</v>
      </c>
      <c r="K622" s="188">
        <f>IF(Daten!$V622=13,1,0)</f>
        <v>0</v>
      </c>
      <c r="L622" s="189">
        <f>IF(Daten!$V622&lt;&gt;Daten!$W622,1,IF(Daten!$V622=14,1,0))</f>
        <v>0</v>
      </c>
      <c r="M622" s="189">
        <f>IF(Daten!$V622&lt;&gt;Daten!$W622,1,IF(Daten!$V622=16,1,0))</f>
        <v>0</v>
      </c>
      <c r="N622" s="189">
        <f>IF(Daten!$W622=17,1,0)</f>
        <v>1</v>
      </c>
      <c r="O622" s="190">
        <f ca="1">IF(Daten!$X622=Sprache!$A$70,1,0)</f>
        <v>0</v>
      </c>
      <c r="P622" s="191">
        <f>IF(AND(Daten!$AQ622&lt;=KINVARO!$AW$3,Daten!$AR622&gt;=KINVARO!$AW$3)=TRUE,1,0)</f>
        <v>1</v>
      </c>
      <c r="Q622" s="192">
        <f>IF(AND(Daten!$AA622&lt;=KINVARO!$AW$4,Daten!$AB622&gt;=KINVARO!$AW$4)=TRUE,1,0)</f>
        <v>0</v>
      </c>
      <c r="R622" s="192"/>
      <c r="S622" s="192">
        <f>IF(AND(Daten!$AD622&lt;=Limits!$I$70,Daten!$AE622&gt;=Limits!$I$70)=TRUE,1,0)</f>
        <v>0</v>
      </c>
      <c r="T622" s="193">
        <f ca="1">IF(Daten!$Y622=Sprache!$A$135,1,0)</f>
        <v>0</v>
      </c>
      <c r="U622" s="124" t="str">
        <f ca="1">Sprache!$A$68</f>
        <v>T-65 Поворотный подъемник</v>
      </c>
      <c r="V622" s="194">
        <v>17</v>
      </c>
      <c r="W622" s="193">
        <v>17</v>
      </c>
      <c r="X622" s="187" t="str">
        <f ca="1">Sprache!$A$141</f>
        <v>Alu</v>
      </c>
      <c r="Y622" s="187" t="str">
        <f ca="1">Sprache!$A$136</f>
        <v>nein</v>
      </c>
      <c r="Z622" s="187" t="str">
        <f ca="1">Sprache!$A$79</f>
        <v>Створка</v>
      </c>
      <c r="AA622" s="187">
        <v>300</v>
      </c>
      <c r="AB622" s="124">
        <v>349</v>
      </c>
      <c r="AC622" s="187"/>
      <c r="AD622" s="195">
        <v>1.4</v>
      </c>
      <c r="AE622" s="196">
        <v>3.4</v>
      </c>
      <c r="AF622" s="263" t="str">
        <f>MID(Tabelle2[[#This Row],[bnr full]],1,4)</f>
        <v>F151</v>
      </c>
      <c r="AG622" s="264" t="str">
        <f>MID(Tabelle2[[#This Row],[bnr full]],5,3)</f>
        <v>147</v>
      </c>
      <c r="AH622" s="265" t="str">
        <f>MID(Tabelle2[[#This Row],[bnr full]],8,3)</f>
        <v>801</v>
      </c>
      <c r="AI622" s="264" t="str">
        <f>MID(Tabelle2[[#This Row],[bnr full]],11,3)</f>
        <v>201</v>
      </c>
      <c r="AJ622" s="252" t="str">
        <f>MID(Tabelle2[[#This Row],[bnr full]],11,3)</f>
        <v>201</v>
      </c>
      <c r="AK622" s="197" t="s">
        <v>1671</v>
      </c>
      <c r="AL622" s="124" t="str">
        <f ca="1">Sprache!$A$111</f>
        <v>Комплект (Л + П)</v>
      </c>
      <c r="AM622" s="187" t="s">
        <v>25</v>
      </c>
      <c r="AN622" s="187" t="str">
        <f ca="1">Sprache!$A$130</f>
        <v>Пружина, желтая, двусторонняя</v>
      </c>
      <c r="AO622" s="187" t="s">
        <v>25</v>
      </c>
      <c r="AP622" s="187" t="s">
        <v>25</v>
      </c>
      <c r="AQ622" s="187">
        <f>Limits!$K$9</f>
        <v>200</v>
      </c>
      <c r="AR622" s="124">
        <v>1200</v>
      </c>
      <c r="AS622" s="187"/>
      <c r="AT622" s="124"/>
      <c r="AV622"/>
      <c r="AX622" s="10"/>
      <c r="AY622" s="11"/>
      <c r="AZ622" s="2"/>
      <c r="BC622"/>
    </row>
    <row r="623" spans="1:55" hidden="1" x14ac:dyDescent="0.25">
      <c r="A623" s="12" t="str">
        <f ca="1">IF(F623+G623+H623+I623+J623+D623+E623=3,IF(Tabelle2[[#This Row],[Kappe Weiß]]=Limits!$R$29,1,""),"")</f>
        <v/>
      </c>
      <c r="B623" s="12" t="str">
        <f ca="1">IF(G623+H623+I623+J623+E623+F623=2,IF(Tabelle2[[#This Row],[Kappe Weiß]]=Limits!$R$29,1,""),"")</f>
        <v/>
      </c>
      <c r="C623" s="291">
        <v>1</v>
      </c>
      <c r="D623" s="171">
        <f>IF(Limits!$P$6=TRUE,1,0)</f>
        <v>0</v>
      </c>
      <c r="E623" s="172">
        <f>IF(Daten!$P623+Daten!$Q623+Daten!$S623=3,1,0)</f>
        <v>0</v>
      </c>
      <c r="F623" s="173">
        <f ca="1">IF(AND(Limits!$Q$21=TRUE,Daten!O623=1)=TRUE,1,0)</f>
        <v>0</v>
      </c>
      <c r="G623" s="174">
        <f>IF(AND(Limits!$Q$25=TRUE,Daten!N623=1)=TRUE,1,0)</f>
        <v>0</v>
      </c>
      <c r="H623" s="174">
        <f>IF(AND(Limits!$Q$24=TRUE,Daten!M623=1)=TRUE,1,0)</f>
        <v>0</v>
      </c>
      <c r="I623" s="174">
        <f>IF(AND(Limits!$Q$23=TRUE,Daten!L623=1)=TRUE,1,0)</f>
        <v>0</v>
      </c>
      <c r="J623" s="174">
        <f>IF(AND(Limits!$Q$22=TRUE,Daten!K623=1)=TRUE,1,0)</f>
        <v>0</v>
      </c>
      <c r="K623" s="188">
        <f>IF(Daten!$V623=13,1,0)</f>
        <v>0</v>
      </c>
      <c r="L623" s="189">
        <f>IF(Daten!$V623&lt;&gt;Daten!$W623,1,IF(Daten!$V623=14,1,0))</f>
        <v>0</v>
      </c>
      <c r="M623" s="189">
        <f>IF(Daten!$V623&lt;&gt;Daten!$W623,1,IF(Daten!$V623=16,1,0))</f>
        <v>0</v>
      </c>
      <c r="N623" s="189">
        <f>IF(Daten!$W623=17,1,0)</f>
        <v>1</v>
      </c>
      <c r="O623" s="190">
        <f ca="1">IF(Daten!$X623=Sprache!$A$70,1,0)</f>
        <v>0</v>
      </c>
      <c r="P623" s="191">
        <f>IF(AND(Daten!$AQ623&lt;=KINVARO!$AW$3,Daten!$AR623&gt;=KINVARO!$AW$3)=TRUE,1,0)</f>
        <v>1</v>
      </c>
      <c r="Q623" s="192">
        <f>IF(AND(Daten!$AA623&lt;=KINVARO!$AW$4,Daten!$AB623&gt;=KINVARO!$AW$4)=TRUE,1,0)</f>
        <v>0</v>
      </c>
      <c r="R623" s="192"/>
      <c r="S623" s="192">
        <f>IF(AND(Daten!$AD623&lt;=Limits!$I$70,Daten!$AE623&gt;=Limits!$I$70)=TRUE,1,0)</f>
        <v>0</v>
      </c>
      <c r="T623" s="193">
        <f ca="1">IF(Daten!$Y623=Sprache!$A$135,1,0)</f>
        <v>0</v>
      </c>
      <c r="U623" s="124" t="str">
        <f ca="1">Sprache!$A$68</f>
        <v>T-65 Поворотный подъемник</v>
      </c>
      <c r="V623" s="194">
        <v>17</v>
      </c>
      <c r="W623" s="193">
        <v>17</v>
      </c>
      <c r="X623" s="187" t="str">
        <f ca="1">Sprache!$A$141</f>
        <v>Alu</v>
      </c>
      <c r="Y623" s="187" t="str">
        <f ca="1">Sprache!$A$136</f>
        <v>nein</v>
      </c>
      <c r="Z623" s="187" t="str">
        <f ca="1">Sprache!$A$79</f>
        <v>Створка</v>
      </c>
      <c r="AA623" s="187">
        <v>300</v>
      </c>
      <c r="AB623" s="124">
        <v>349</v>
      </c>
      <c r="AC623" s="187"/>
      <c r="AD623" s="195">
        <v>2</v>
      </c>
      <c r="AE623" s="196">
        <v>6.3</v>
      </c>
      <c r="AF623" s="263" t="str">
        <f>MID(Tabelle2[[#This Row],[bnr full]],1,4)</f>
        <v>F151</v>
      </c>
      <c r="AG623" s="264" t="str">
        <f>MID(Tabelle2[[#This Row],[bnr full]],5,3)</f>
        <v>147</v>
      </c>
      <c r="AH623" s="265" t="str">
        <f>MID(Tabelle2[[#This Row],[bnr full]],8,3)</f>
        <v>801</v>
      </c>
      <c r="AI623" s="264" t="str">
        <f>MID(Tabelle2[[#This Row],[bnr full]],11,3)</f>
        <v>201</v>
      </c>
      <c r="AJ623" s="252" t="str">
        <f>MID(Tabelle2[[#This Row],[bnr full]],11,3)</f>
        <v>201</v>
      </c>
      <c r="AK623" s="197" t="s">
        <v>1671</v>
      </c>
      <c r="AL623" s="124" t="str">
        <f ca="1">Sprache!$A$111</f>
        <v>Комплект (Л + П)</v>
      </c>
      <c r="AM623" s="187" t="s">
        <v>25</v>
      </c>
      <c r="AN623" s="187" t="str">
        <f ca="1">Sprache!$A$131</f>
        <v>Пружина, черная, двусторонняя</v>
      </c>
      <c r="AO623" s="187" t="s">
        <v>25</v>
      </c>
      <c r="AP623" s="187" t="s">
        <v>25</v>
      </c>
      <c r="AQ623" s="187">
        <f>Limits!$K$9</f>
        <v>200</v>
      </c>
      <c r="AR623" s="124">
        <v>1200</v>
      </c>
      <c r="AS623" s="187"/>
      <c r="AT623" s="124"/>
      <c r="AV623"/>
      <c r="AX623" s="10"/>
      <c r="AY623" s="11"/>
      <c r="AZ623" s="2"/>
      <c r="BC623"/>
    </row>
    <row r="624" spans="1:55" hidden="1" x14ac:dyDescent="0.25">
      <c r="A624" s="12" t="str">
        <f ca="1">IF(F624+G624+H624+I624+J624+D624+E624=3,IF(Tabelle2[[#This Row],[Kappe Weiß]]=Limits!$R$29,1,""),"")</f>
        <v/>
      </c>
      <c r="B624" s="12" t="str">
        <f ca="1">IF(G624+H624+I624+J624+E624+F624=2,IF(Tabelle2[[#This Row],[Kappe Weiß]]=Limits!$R$29,1,""),"")</f>
        <v/>
      </c>
      <c r="C624" s="292">
        <v>1</v>
      </c>
      <c r="D624" s="171">
        <f>IF(Limits!$P$6=TRUE,1,0)</f>
        <v>0</v>
      </c>
      <c r="E624" s="172">
        <f>IF(Daten!$P624+Daten!$Q624+Daten!$S624=3,1,0)</f>
        <v>0</v>
      </c>
      <c r="F624" s="173">
        <f ca="1">IF(AND(Limits!$Q$21=TRUE,Daten!O624=1)=TRUE,1,0)</f>
        <v>1</v>
      </c>
      <c r="G624" s="174">
        <f ca="1">IF(AND(Limits!$Q$25=TRUE,Daten!N624=1)=TRUE,1,0)</f>
        <v>0</v>
      </c>
      <c r="H624" s="174">
        <f ca="1">IF(AND(Limits!$Q$24=TRUE,Daten!M624=1)=TRUE,1,0)</f>
        <v>0</v>
      </c>
      <c r="I624" s="174">
        <f ca="1">IF(AND(Limits!$Q$23=TRUE,Daten!L624=1)=TRUE,1,0)</f>
        <v>0</v>
      </c>
      <c r="J624" s="174">
        <f ca="1">IF(AND(Limits!$Q$22=TRUE,Daten!K624=1)=TRUE,1,0)</f>
        <v>0</v>
      </c>
      <c r="K624" s="188">
        <f ca="1">IF(Daten!$V624=13,1,0)</f>
        <v>0</v>
      </c>
      <c r="L624" s="189">
        <f ca="1">IF(Daten!$V624&lt;&gt;Daten!$W624,1,IF(Daten!$V624=14,1,0))</f>
        <v>0</v>
      </c>
      <c r="M624" s="189">
        <f ca="1">IF(Daten!$V624&lt;&gt;Daten!$W624,1,IF(Daten!$V624=16,1,0))</f>
        <v>0</v>
      </c>
      <c r="N624" s="189">
        <f ca="1">IF(Daten!$W624=17,1,0)</f>
        <v>0</v>
      </c>
      <c r="O624" s="190">
        <f ca="1">IF(Daten!$X624=Sprache!$A$70,1,0)</f>
        <v>1</v>
      </c>
      <c r="P624" s="198">
        <f>IF(AND(Daten!$AQ624&lt;=KINVARO!$AW$3,Daten!$AR624&gt;=KINVARO!$AW$3)=TRUE,1,0)</f>
        <v>1</v>
      </c>
      <c r="Q624" s="199">
        <f>IF(AND(Daten!$AA624&lt;=KINVARO!$AW$4,Daten!$AB624&gt;=KINVARO!$AW$4)=TRUE,1,0)</f>
        <v>0</v>
      </c>
      <c r="R624" s="199"/>
      <c r="S624" s="199">
        <f>IF(AND(Daten!$AD624&lt;=Limits!$I$70,Daten!$AE624&gt;=Limits!$I$70)=TRUE,1,0)</f>
        <v>0</v>
      </c>
      <c r="T624" s="200">
        <f ca="1">IF(Daten!$Y624=Sprache!$A$135,1,0)</f>
        <v>0</v>
      </c>
      <c r="U624" s="201" t="str">
        <f ca="1">Sprache!$A$68</f>
        <v>T-65 Поворотный подъемник</v>
      </c>
      <c r="V624" s="202" t="str">
        <f ca="1">Sprache!$A$74</f>
        <v>var</v>
      </c>
      <c r="W624" s="200" t="str">
        <f ca="1">Sprache!$A$74</f>
        <v>var</v>
      </c>
      <c r="X624" s="203" t="str">
        <f ca="1">Sprache!$A$70</f>
        <v>соединение с древесиной</v>
      </c>
      <c r="Y624" s="187" t="str">
        <f ca="1">Sprache!$A$136</f>
        <v>nein</v>
      </c>
      <c r="Z624" s="203" t="str">
        <f ca="1">Sprache!$A$79</f>
        <v>Створка</v>
      </c>
      <c r="AA624" s="203">
        <v>350</v>
      </c>
      <c r="AB624" s="201">
        <v>399</v>
      </c>
      <c r="AC624" s="203"/>
      <c r="AD624" s="204">
        <v>1</v>
      </c>
      <c r="AE624" s="205">
        <v>2.9</v>
      </c>
      <c r="AF624" s="266" t="str">
        <f>MID(Tabelle2[[#This Row],[bnr full]],1,4)</f>
        <v>F151</v>
      </c>
      <c r="AG624" s="267" t="str">
        <f>MID(Tabelle2[[#This Row],[bnr full]],5,3)</f>
        <v>147</v>
      </c>
      <c r="AH624" s="268" t="str">
        <f>MID(Tabelle2[[#This Row],[bnr full]],8,3)</f>
        <v>797</v>
      </c>
      <c r="AI624" s="267" t="str">
        <f>MID(Tabelle2[[#This Row],[bnr full]],11,3)</f>
        <v>201</v>
      </c>
      <c r="AJ624" s="253" t="str">
        <f>MID(Tabelle2[[#This Row],[bnr full]],11,3)</f>
        <v>201</v>
      </c>
      <c r="AK624" s="197" t="s">
        <v>1667</v>
      </c>
      <c r="AL624" s="201" t="str">
        <f ca="1">Sprache!$A$111</f>
        <v>Комплект (Л + П)</v>
      </c>
      <c r="AM624" s="203" t="s">
        <v>25</v>
      </c>
      <c r="AN624" s="203" t="str">
        <f ca="1">Sprache!$A$130</f>
        <v>Пружина, желтая, двусторонняя</v>
      </c>
      <c r="AO624" s="187" t="s">
        <v>25</v>
      </c>
      <c r="AP624" s="187" t="s">
        <v>25</v>
      </c>
      <c r="AQ624" s="203">
        <f>Limits!$K$9</f>
        <v>200</v>
      </c>
      <c r="AR624" s="201">
        <v>1200</v>
      </c>
      <c r="AS624" s="187"/>
      <c r="AT624" s="124"/>
      <c r="AV624"/>
      <c r="AX624" s="10"/>
      <c r="AY624" s="11"/>
      <c r="AZ624" s="2"/>
      <c r="BC624"/>
    </row>
    <row r="625" spans="1:55" hidden="1" x14ac:dyDescent="0.25">
      <c r="A625" s="12" t="str">
        <f ca="1">IF(F625+G625+H625+I625+J625+D625+E625=3,IF(Tabelle2[[#This Row],[Kappe Weiß]]=Limits!$R$29,1,""),"")</f>
        <v/>
      </c>
      <c r="B625" s="12" t="str">
        <f ca="1">IF(G625+H625+I625+J625+E625+F625=2,IF(Tabelle2[[#This Row],[Kappe Weiß]]=Limits!$R$29,1,""),"")</f>
        <v/>
      </c>
      <c r="C625" s="291">
        <v>1</v>
      </c>
      <c r="D625" s="171">
        <f>IF(Limits!$P$6=TRUE,1,0)</f>
        <v>0</v>
      </c>
      <c r="E625" s="172">
        <f>IF(Daten!$P625+Daten!$Q625+Daten!$S625=3,1,0)</f>
        <v>0</v>
      </c>
      <c r="F625" s="173">
        <f ca="1">IF(AND(Limits!$Q$21=TRUE,Daten!O625=1)=TRUE,1,0)</f>
        <v>1</v>
      </c>
      <c r="G625" s="174">
        <f ca="1">IF(AND(Limits!$Q$25=TRUE,Daten!N625=1)=TRUE,1,0)</f>
        <v>0</v>
      </c>
      <c r="H625" s="174">
        <f ca="1">IF(AND(Limits!$Q$24=TRUE,Daten!M625=1)=TRUE,1,0)</f>
        <v>0</v>
      </c>
      <c r="I625" s="174">
        <f ca="1">IF(AND(Limits!$Q$23=TRUE,Daten!L625=1)=TRUE,1,0)</f>
        <v>0</v>
      </c>
      <c r="J625" s="174">
        <f ca="1">IF(AND(Limits!$Q$22=TRUE,Daten!K625=1)=TRUE,1,0)</f>
        <v>0</v>
      </c>
      <c r="K625" s="188">
        <f ca="1">IF(Daten!$V625=13,1,0)</f>
        <v>0</v>
      </c>
      <c r="L625" s="189">
        <f ca="1">IF(Daten!$V625&lt;&gt;Daten!$W625,1,IF(Daten!$V625=14,1,0))</f>
        <v>0</v>
      </c>
      <c r="M625" s="189">
        <f ca="1">IF(Daten!$V625&lt;&gt;Daten!$W625,1,IF(Daten!$V625=16,1,0))</f>
        <v>0</v>
      </c>
      <c r="N625" s="189">
        <f ca="1">IF(Daten!$W625=17,1,0)</f>
        <v>0</v>
      </c>
      <c r="O625" s="190">
        <f ca="1">IF(Daten!$X625=Sprache!$A$70,1,0)</f>
        <v>1</v>
      </c>
      <c r="P625" s="191">
        <f>IF(AND(Daten!$AQ625&lt;=KINVARO!$AW$3,Daten!$AR625&gt;=KINVARO!$AW$3)=TRUE,1,0)</f>
        <v>1</v>
      </c>
      <c r="Q625" s="192">
        <f>IF(AND(Daten!$AA625&lt;=KINVARO!$AW$4,Daten!$AB625&gt;=KINVARO!$AW$4)=TRUE,1,0)</f>
        <v>0</v>
      </c>
      <c r="R625" s="192"/>
      <c r="S625" s="192">
        <f>IF(AND(Daten!$AD625&lt;=Limits!$I$70,Daten!$AE625&gt;=Limits!$I$70)=TRUE,1,0)</f>
        <v>0</v>
      </c>
      <c r="T625" s="193">
        <f ca="1">IF(Daten!$Y625=Sprache!$A$135,1,0)</f>
        <v>0</v>
      </c>
      <c r="U625" s="124" t="str">
        <f ca="1">Sprache!$A$68</f>
        <v>T-65 Поворотный подъемник</v>
      </c>
      <c r="V625" s="194" t="str">
        <f ca="1">Sprache!$A$74</f>
        <v>var</v>
      </c>
      <c r="W625" s="193" t="str">
        <f ca="1">Sprache!$A$74</f>
        <v>var</v>
      </c>
      <c r="X625" s="187" t="str">
        <f ca="1">Sprache!$A$70</f>
        <v>соединение с древесиной</v>
      </c>
      <c r="Y625" s="187" t="str">
        <f ca="1">Sprache!$A$136</f>
        <v>nein</v>
      </c>
      <c r="Z625" s="187" t="str">
        <f ca="1">Sprache!$A$79</f>
        <v>Створка</v>
      </c>
      <c r="AA625" s="187">
        <v>350</v>
      </c>
      <c r="AB625" s="124">
        <v>399</v>
      </c>
      <c r="AC625" s="187"/>
      <c r="AD625" s="195">
        <v>1.7</v>
      </c>
      <c r="AE625" s="196">
        <v>5.4</v>
      </c>
      <c r="AF625" s="263" t="str">
        <f>MID(Tabelle2[[#This Row],[bnr full]],1,4)</f>
        <v>F151</v>
      </c>
      <c r="AG625" s="264" t="str">
        <f>MID(Tabelle2[[#This Row],[bnr full]],5,3)</f>
        <v>147</v>
      </c>
      <c r="AH625" s="265" t="str">
        <f>MID(Tabelle2[[#This Row],[bnr full]],8,3)</f>
        <v>797</v>
      </c>
      <c r="AI625" s="264" t="str">
        <f>MID(Tabelle2[[#This Row],[bnr full]],11,3)</f>
        <v>201</v>
      </c>
      <c r="AJ625" s="252" t="str">
        <f>MID(Tabelle2[[#This Row],[bnr full]],11,3)</f>
        <v>201</v>
      </c>
      <c r="AK625" s="197" t="s">
        <v>1667</v>
      </c>
      <c r="AL625" s="124" t="str">
        <f ca="1">Sprache!$A$111</f>
        <v>Комплект (Л + П)</v>
      </c>
      <c r="AM625" s="187" t="s">
        <v>25</v>
      </c>
      <c r="AN625" s="187" t="str">
        <f ca="1">Sprache!$A$131</f>
        <v>Пружина, черная, двусторонняя</v>
      </c>
      <c r="AO625" s="187" t="s">
        <v>25</v>
      </c>
      <c r="AP625" s="187" t="s">
        <v>25</v>
      </c>
      <c r="AQ625" s="187">
        <f>Limits!$K$9</f>
        <v>200</v>
      </c>
      <c r="AR625" s="124">
        <v>1200</v>
      </c>
      <c r="AS625" s="187"/>
      <c r="AT625" s="124"/>
      <c r="AV625"/>
      <c r="AX625" s="10"/>
      <c r="AY625" s="11"/>
      <c r="AZ625" s="2"/>
      <c r="BC625"/>
    </row>
    <row r="626" spans="1:55" hidden="1" x14ac:dyDescent="0.25">
      <c r="A626" s="12" t="str">
        <f ca="1">IF(F626+G626+H626+I626+J626+D626+E626=3,IF(Tabelle2[[#This Row],[Kappe Weiß]]=Limits!$R$29,1,""),"")</f>
        <v/>
      </c>
      <c r="B626" s="12" t="str">
        <f ca="1">IF(G626+H626+I626+J626+E626+F626=2,IF(Tabelle2[[#This Row],[Kappe Weiß]]=Limits!$R$29,1,""),"")</f>
        <v/>
      </c>
      <c r="C626" s="291">
        <v>1</v>
      </c>
      <c r="D626" s="171">
        <f>IF(Limits!$P$6=TRUE,1,0)</f>
        <v>0</v>
      </c>
      <c r="E626" s="172">
        <f>IF(Daten!$P626+Daten!$Q626+Daten!$S626=3,1,0)</f>
        <v>0</v>
      </c>
      <c r="F626" s="173">
        <f ca="1">IF(AND(Limits!$Q$21=TRUE,Daten!O626=1)=TRUE,1,0)</f>
        <v>0</v>
      </c>
      <c r="G626" s="174">
        <f>IF(AND(Limits!$Q$25=TRUE,Daten!N626=1)=TRUE,1,0)</f>
        <v>0</v>
      </c>
      <c r="H626" s="174">
        <f>IF(AND(Limits!$Q$24=TRUE,Daten!M626=1)=TRUE,1,0)</f>
        <v>0</v>
      </c>
      <c r="I626" s="174">
        <f>IF(AND(Limits!$Q$23=TRUE,Daten!L626=1)=TRUE,1,0)</f>
        <v>0</v>
      </c>
      <c r="J626" s="174">
        <f>IF(AND(Limits!$Q$22=TRUE,Daten!K626=1)=TRUE,1,0)</f>
        <v>0</v>
      </c>
      <c r="K626" s="188">
        <f>IF(Daten!$V626=13,1,0)</f>
        <v>1</v>
      </c>
      <c r="L626" s="189">
        <f>IF(Daten!$V626&lt;&gt;Daten!$W626,1,IF(Daten!$V626=14,1,0))</f>
        <v>0</v>
      </c>
      <c r="M626" s="189">
        <f>IF(Daten!$V626&lt;&gt;Daten!$W626,1,IF(Daten!$V626=16,1,0))</f>
        <v>0</v>
      </c>
      <c r="N626" s="189">
        <f>IF(Daten!$W626=17,1,0)</f>
        <v>0</v>
      </c>
      <c r="O626" s="190">
        <f ca="1">IF(Daten!$X626=Sprache!$A$70,1,0)</f>
        <v>0</v>
      </c>
      <c r="P626" s="191">
        <f>IF(AND(Daten!$AQ626&lt;=KINVARO!$AW$3,Daten!$AR626&gt;=KINVARO!$AW$3)=TRUE,1,0)</f>
        <v>1</v>
      </c>
      <c r="Q626" s="192">
        <f>IF(AND(Daten!$AA626&lt;=KINVARO!$AW$4,Daten!$AB626&gt;=KINVARO!$AW$4)=TRUE,1,0)</f>
        <v>0</v>
      </c>
      <c r="R626" s="192"/>
      <c r="S626" s="192">
        <f>IF(AND(Daten!$AD626&lt;=Limits!$I$70,Daten!$AE626&gt;=Limits!$I$70)=TRUE,1,0)</f>
        <v>0</v>
      </c>
      <c r="T626" s="193">
        <f ca="1">IF(Daten!$Y626=Sprache!$A$135,1,0)</f>
        <v>0</v>
      </c>
      <c r="U626" s="124" t="str">
        <f ca="1">Sprache!$A$68</f>
        <v>T-65 Поворотный подъемник</v>
      </c>
      <c r="V626" s="194">
        <v>13</v>
      </c>
      <c r="W626" s="193">
        <v>13</v>
      </c>
      <c r="X626" s="187" t="str">
        <f ca="1">Sprache!$A$141</f>
        <v>Alu</v>
      </c>
      <c r="Y626" s="187" t="str">
        <f ca="1">Sprache!$A$136</f>
        <v>nein</v>
      </c>
      <c r="Z626" s="187" t="str">
        <f ca="1">Sprache!$A$79</f>
        <v>Створка</v>
      </c>
      <c r="AA626" s="187">
        <v>350</v>
      </c>
      <c r="AB626" s="124">
        <v>399</v>
      </c>
      <c r="AC626" s="187"/>
      <c r="AD626" s="195">
        <v>1</v>
      </c>
      <c r="AE626" s="196">
        <v>2.9</v>
      </c>
      <c r="AF626" s="263" t="str">
        <f>MID(Tabelle2[[#This Row],[bnr full]],1,4)</f>
        <v>F151</v>
      </c>
      <c r="AG626" s="264" t="str">
        <f>MID(Tabelle2[[#This Row],[bnr full]],5,3)</f>
        <v>147</v>
      </c>
      <c r="AH626" s="265" t="str">
        <f>MID(Tabelle2[[#This Row],[bnr full]],8,3)</f>
        <v>798</v>
      </c>
      <c r="AI626" s="264" t="str">
        <f>MID(Tabelle2[[#This Row],[bnr full]],11,3)</f>
        <v>201</v>
      </c>
      <c r="AJ626" s="252" t="str">
        <f>MID(Tabelle2[[#This Row],[bnr full]],11,3)</f>
        <v>201</v>
      </c>
      <c r="AK626" s="197" t="s">
        <v>1668</v>
      </c>
      <c r="AL626" s="124" t="str">
        <f ca="1">Sprache!$A$111</f>
        <v>Комплект (Л + П)</v>
      </c>
      <c r="AM626" s="187" t="s">
        <v>25</v>
      </c>
      <c r="AN626" s="187" t="str">
        <f ca="1">Sprache!$A$130</f>
        <v>Пружина, желтая, двусторонняя</v>
      </c>
      <c r="AO626" s="187" t="s">
        <v>25</v>
      </c>
      <c r="AP626" s="187" t="s">
        <v>25</v>
      </c>
      <c r="AQ626" s="187">
        <f>Limits!$K$9</f>
        <v>200</v>
      </c>
      <c r="AR626" s="124">
        <v>1200</v>
      </c>
      <c r="AS626" s="187"/>
      <c r="AT626" s="124"/>
      <c r="AV626"/>
      <c r="AX626" s="10"/>
      <c r="AY626" s="11"/>
      <c r="AZ626" s="2"/>
      <c r="BC626"/>
    </row>
    <row r="627" spans="1:55" hidden="1" x14ac:dyDescent="0.25">
      <c r="A627" s="12" t="str">
        <f ca="1">IF(F627+G627+H627+I627+J627+D627+E627=3,IF(Tabelle2[[#This Row],[Kappe Weiß]]=Limits!$R$29,1,""),"")</f>
        <v/>
      </c>
      <c r="B627" s="12" t="str">
        <f ca="1">IF(G627+H627+I627+J627+E627+F627=2,IF(Tabelle2[[#This Row],[Kappe Weiß]]=Limits!$R$29,1,""),"")</f>
        <v/>
      </c>
      <c r="C627" s="291">
        <v>1</v>
      </c>
      <c r="D627" s="171">
        <f>IF(Limits!$P$6=TRUE,1,0)</f>
        <v>0</v>
      </c>
      <c r="E627" s="172">
        <f>IF(Daten!$P627+Daten!$Q627+Daten!$S627=3,1,0)</f>
        <v>0</v>
      </c>
      <c r="F627" s="173">
        <f ca="1">IF(AND(Limits!$Q$21=TRUE,Daten!O627=1)=TRUE,1,0)</f>
        <v>0</v>
      </c>
      <c r="G627" s="174">
        <f>IF(AND(Limits!$Q$25=TRUE,Daten!N627=1)=TRUE,1,0)</f>
        <v>0</v>
      </c>
      <c r="H627" s="174">
        <f>IF(AND(Limits!$Q$24=TRUE,Daten!M627=1)=TRUE,1,0)</f>
        <v>0</v>
      </c>
      <c r="I627" s="174">
        <f>IF(AND(Limits!$Q$23=TRUE,Daten!L627=1)=TRUE,1,0)</f>
        <v>0</v>
      </c>
      <c r="J627" s="174">
        <f>IF(AND(Limits!$Q$22=TRUE,Daten!K627=1)=TRUE,1,0)</f>
        <v>0</v>
      </c>
      <c r="K627" s="188">
        <f>IF(Daten!$V627=13,1,0)</f>
        <v>1</v>
      </c>
      <c r="L627" s="189">
        <f>IF(Daten!$V627&lt;&gt;Daten!$W627,1,IF(Daten!$V627=14,1,0))</f>
        <v>0</v>
      </c>
      <c r="M627" s="189">
        <f>IF(Daten!$V627&lt;&gt;Daten!$W627,1,IF(Daten!$V627=16,1,0))</f>
        <v>0</v>
      </c>
      <c r="N627" s="189">
        <f>IF(Daten!$W627=17,1,0)</f>
        <v>0</v>
      </c>
      <c r="O627" s="190">
        <f ca="1">IF(Daten!$X627=Sprache!$A$70,1,0)</f>
        <v>0</v>
      </c>
      <c r="P627" s="191">
        <f>IF(AND(Daten!$AQ627&lt;=KINVARO!$AW$3,Daten!$AR627&gt;=KINVARO!$AW$3)=TRUE,1,0)</f>
        <v>1</v>
      </c>
      <c r="Q627" s="192">
        <f>IF(AND(Daten!$AA627&lt;=KINVARO!$AW$4,Daten!$AB627&gt;=KINVARO!$AW$4)=TRUE,1,0)</f>
        <v>0</v>
      </c>
      <c r="R627" s="192"/>
      <c r="S627" s="192">
        <f>IF(AND(Daten!$AD627&lt;=Limits!$I$70,Daten!$AE627&gt;=Limits!$I$70)=TRUE,1,0)</f>
        <v>0</v>
      </c>
      <c r="T627" s="193">
        <f ca="1">IF(Daten!$Y627=Sprache!$A$135,1,0)</f>
        <v>0</v>
      </c>
      <c r="U627" s="124" t="str">
        <f ca="1">Sprache!$A$68</f>
        <v>T-65 Поворотный подъемник</v>
      </c>
      <c r="V627" s="194">
        <v>13</v>
      </c>
      <c r="W627" s="193">
        <v>13</v>
      </c>
      <c r="X627" s="187" t="str">
        <f ca="1">Sprache!$A$141</f>
        <v>Alu</v>
      </c>
      <c r="Y627" s="187" t="str">
        <f ca="1">Sprache!$A$136</f>
        <v>nein</v>
      </c>
      <c r="Z627" s="187" t="str">
        <f ca="1">Sprache!$A$79</f>
        <v>Створка</v>
      </c>
      <c r="AA627" s="187">
        <v>350</v>
      </c>
      <c r="AB627" s="124">
        <v>399</v>
      </c>
      <c r="AC627" s="187"/>
      <c r="AD627" s="195">
        <v>1.7</v>
      </c>
      <c r="AE627" s="196">
        <v>5.4</v>
      </c>
      <c r="AF627" s="263" t="str">
        <f>MID(Tabelle2[[#This Row],[bnr full]],1,4)</f>
        <v>F151</v>
      </c>
      <c r="AG627" s="264" t="str">
        <f>MID(Tabelle2[[#This Row],[bnr full]],5,3)</f>
        <v>147</v>
      </c>
      <c r="AH627" s="265" t="str">
        <f>MID(Tabelle2[[#This Row],[bnr full]],8,3)</f>
        <v>798</v>
      </c>
      <c r="AI627" s="264" t="str">
        <f>MID(Tabelle2[[#This Row],[bnr full]],11,3)</f>
        <v>201</v>
      </c>
      <c r="AJ627" s="252" t="str">
        <f>MID(Tabelle2[[#This Row],[bnr full]],11,3)</f>
        <v>201</v>
      </c>
      <c r="AK627" s="197" t="s">
        <v>1668</v>
      </c>
      <c r="AL627" s="124" t="str">
        <f ca="1">Sprache!$A$111</f>
        <v>Комплект (Л + П)</v>
      </c>
      <c r="AM627" s="187" t="s">
        <v>25</v>
      </c>
      <c r="AN627" s="187" t="str">
        <f ca="1">Sprache!$A$131</f>
        <v>Пружина, черная, двусторонняя</v>
      </c>
      <c r="AO627" s="187" t="s">
        <v>25</v>
      </c>
      <c r="AP627" s="187" t="s">
        <v>25</v>
      </c>
      <c r="AQ627" s="187">
        <f>Limits!$K$9</f>
        <v>200</v>
      </c>
      <c r="AR627" s="124">
        <v>1200</v>
      </c>
      <c r="AS627" s="187"/>
      <c r="AT627" s="124"/>
      <c r="AV627"/>
      <c r="AX627" s="10"/>
      <c r="AY627" s="11"/>
      <c r="AZ627" s="2"/>
      <c r="BC627"/>
    </row>
    <row r="628" spans="1:55" hidden="1" x14ac:dyDescent="0.25">
      <c r="A628" s="12" t="str">
        <f ca="1">IF(F628+G628+H628+I628+J628+D628+E628=3,IF(Tabelle2[[#This Row],[Kappe Weiß]]=Limits!$R$29,1,""),"")</f>
        <v/>
      </c>
      <c r="B628" s="12" t="str">
        <f ca="1">IF(G628+H628+I628+J628+E628+F628=2,IF(Tabelle2[[#This Row],[Kappe Weiß]]=Limits!$R$29,1,""),"")</f>
        <v/>
      </c>
      <c r="C628" s="291">
        <v>1</v>
      </c>
      <c r="D628" s="171">
        <f>IF(Limits!$P$6=TRUE,1,0)</f>
        <v>0</v>
      </c>
      <c r="E628" s="172">
        <f>IF(Daten!$P628+Daten!$Q628+Daten!$S628=3,1,0)</f>
        <v>0</v>
      </c>
      <c r="F628" s="173">
        <f ca="1">IF(AND(Limits!$Q$21=TRUE,Daten!O628=1)=TRUE,1,0)</f>
        <v>0</v>
      </c>
      <c r="G628" s="174">
        <f>IF(AND(Limits!$Q$25=TRUE,Daten!N628=1)=TRUE,1,0)</f>
        <v>0</v>
      </c>
      <c r="H628" s="174">
        <f>IF(AND(Limits!$Q$24=TRUE,Daten!M628=1)=TRUE,1,0)</f>
        <v>0</v>
      </c>
      <c r="I628" s="174">
        <f>IF(AND(Limits!$Q$23=TRUE,Daten!L628=1)=TRUE,1,0)</f>
        <v>0</v>
      </c>
      <c r="J628" s="174">
        <f>IF(AND(Limits!$Q$22=TRUE,Daten!K628=1)=TRUE,1,0)</f>
        <v>0</v>
      </c>
      <c r="K628" s="188">
        <f>IF(Daten!$V628=13,1,0)</f>
        <v>0</v>
      </c>
      <c r="L628" s="189">
        <f>IF(Daten!$V628&lt;&gt;Daten!$W628,1,IF(Daten!$V628=14,1,0))</f>
        <v>1</v>
      </c>
      <c r="M628" s="189">
        <f>IF(Daten!$V628&lt;&gt;Daten!$W628,1,IF(Daten!$V628=16,1,0))</f>
        <v>0</v>
      </c>
      <c r="N628" s="189">
        <f>IF(Daten!$W628=17,1,0)</f>
        <v>0</v>
      </c>
      <c r="O628" s="190">
        <f ca="1">IF(Daten!$X628=Sprache!$A$70,1,0)</f>
        <v>0</v>
      </c>
      <c r="P628" s="191">
        <f>IF(AND(Daten!$AQ628&lt;=KINVARO!$AW$3,Daten!$AR628&gt;=KINVARO!$AW$3)=TRUE,1,0)</f>
        <v>1</v>
      </c>
      <c r="Q628" s="192">
        <f>IF(AND(Daten!$AA628&lt;=KINVARO!$AW$4,Daten!$AB628&gt;=KINVARO!$AW$4)=TRUE,1,0)</f>
        <v>0</v>
      </c>
      <c r="R628" s="192"/>
      <c r="S628" s="192">
        <f>IF(AND(Daten!$AD628&lt;=Limits!$I$70,Daten!$AE628&gt;=Limits!$I$70)=TRUE,1,0)</f>
        <v>0</v>
      </c>
      <c r="T628" s="193">
        <f ca="1">IF(Daten!$Y628=Sprache!$A$135,1,0)</f>
        <v>0</v>
      </c>
      <c r="U628" s="124" t="str">
        <f ca="1">Sprache!$A$68</f>
        <v>T-65 Поворотный подъемник</v>
      </c>
      <c r="V628" s="194">
        <v>14</v>
      </c>
      <c r="W628" s="193">
        <v>14</v>
      </c>
      <c r="X628" s="187" t="str">
        <f ca="1">Sprache!$A$141</f>
        <v>Alu</v>
      </c>
      <c r="Y628" s="187" t="str">
        <f ca="1">Sprache!$A$136</f>
        <v>nein</v>
      </c>
      <c r="Z628" s="187" t="str">
        <f ca="1">Sprache!$A$79</f>
        <v>Створка</v>
      </c>
      <c r="AA628" s="187">
        <v>350</v>
      </c>
      <c r="AB628" s="124">
        <v>399</v>
      </c>
      <c r="AC628" s="187"/>
      <c r="AD628" s="195">
        <v>1</v>
      </c>
      <c r="AE628" s="196">
        <v>2.9</v>
      </c>
      <c r="AF628" s="263" t="str">
        <f>MID(Tabelle2[[#This Row],[bnr full]],1,4)</f>
        <v>F151</v>
      </c>
      <c r="AG628" s="264" t="str">
        <f>MID(Tabelle2[[#This Row],[bnr full]],5,3)</f>
        <v>147</v>
      </c>
      <c r="AH628" s="265" t="str">
        <f>MID(Tabelle2[[#This Row],[bnr full]],8,3)</f>
        <v>799</v>
      </c>
      <c r="AI628" s="264" t="str">
        <f>MID(Tabelle2[[#This Row],[bnr full]],11,3)</f>
        <v>201</v>
      </c>
      <c r="AJ628" s="252" t="str">
        <f>MID(Tabelle2[[#This Row],[bnr full]],11,3)</f>
        <v>201</v>
      </c>
      <c r="AK628" s="197" t="s">
        <v>1669</v>
      </c>
      <c r="AL628" s="124" t="str">
        <f ca="1">Sprache!$A$111</f>
        <v>Комплект (Л + П)</v>
      </c>
      <c r="AM628" s="187" t="s">
        <v>25</v>
      </c>
      <c r="AN628" s="187" t="str">
        <f ca="1">Sprache!$A$130</f>
        <v>Пружина, желтая, двусторонняя</v>
      </c>
      <c r="AO628" s="187" t="s">
        <v>25</v>
      </c>
      <c r="AP628" s="187" t="s">
        <v>25</v>
      </c>
      <c r="AQ628" s="187">
        <f>Limits!$K$9</f>
        <v>200</v>
      </c>
      <c r="AR628" s="124">
        <v>1200</v>
      </c>
      <c r="AS628" s="187"/>
      <c r="AT628" s="124"/>
      <c r="AV628"/>
      <c r="AX628" s="10"/>
      <c r="AY628" s="11"/>
      <c r="AZ628" s="2"/>
      <c r="BC628"/>
    </row>
    <row r="629" spans="1:55" hidden="1" x14ac:dyDescent="0.25">
      <c r="A629" s="12" t="str">
        <f ca="1">IF(F629+G629+H629+I629+J629+D629+E629=3,IF(Tabelle2[[#This Row],[Kappe Weiß]]=Limits!$R$29,1,""),"")</f>
        <v/>
      </c>
      <c r="B629" s="12" t="str">
        <f ca="1">IF(G629+H629+I629+J629+E629+F629=2,IF(Tabelle2[[#This Row],[Kappe Weiß]]=Limits!$R$29,1,""),"")</f>
        <v/>
      </c>
      <c r="C629" s="291">
        <v>1</v>
      </c>
      <c r="D629" s="171">
        <f>IF(Limits!$P$6=TRUE,1,0)</f>
        <v>0</v>
      </c>
      <c r="E629" s="172">
        <f>IF(Daten!$P629+Daten!$Q629+Daten!$S629=3,1,0)</f>
        <v>0</v>
      </c>
      <c r="F629" s="173">
        <f ca="1">IF(AND(Limits!$Q$21=TRUE,Daten!O629=1)=TRUE,1,0)</f>
        <v>0</v>
      </c>
      <c r="G629" s="174">
        <f>IF(AND(Limits!$Q$25=TRUE,Daten!N629=1)=TRUE,1,0)</f>
        <v>0</v>
      </c>
      <c r="H629" s="174">
        <f>IF(AND(Limits!$Q$24=TRUE,Daten!M629=1)=TRUE,1,0)</f>
        <v>0</v>
      </c>
      <c r="I629" s="174">
        <f>IF(AND(Limits!$Q$23=TRUE,Daten!L629=1)=TRUE,1,0)</f>
        <v>0</v>
      </c>
      <c r="J629" s="174">
        <f>IF(AND(Limits!$Q$22=TRUE,Daten!K629=1)=TRUE,1,0)</f>
        <v>0</v>
      </c>
      <c r="K629" s="188">
        <f>IF(Daten!$V629=13,1,0)</f>
        <v>0</v>
      </c>
      <c r="L629" s="189">
        <f>IF(Daten!$V629&lt;&gt;Daten!$W629,1,IF(Daten!$V629=14,1,0))</f>
        <v>1</v>
      </c>
      <c r="M629" s="189">
        <f>IF(Daten!$V629&lt;&gt;Daten!$W629,1,IF(Daten!$V629=16,1,0))</f>
        <v>0</v>
      </c>
      <c r="N629" s="189">
        <f>IF(Daten!$W629=17,1,0)</f>
        <v>0</v>
      </c>
      <c r="O629" s="190">
        <f ca="1">IF(Daten!$X629=Sprache!$A$70,1,0)</f>
        <v>0</v>
      </c>
      <c r="P629" s="191">
        <f>IF(AND(Daten!$AQ629&lt;=KINVARO!$AW$3,Daten!$AR629&gt;=KINVARO!$AW$3)=TRUE,1,0)</f>
        <v>1</v>
      </c>
      <c r="Q629" s="192">
        <f>IF(AND(Daten!$AA629&lt;=KINVARO!$AW$4,Daten!$AB629&gt;=KINVARO!$AW$4)=TRUE,1,0)</f>
        <v>0</v>
      </c>
      <c r="R629" s="192"/>
      <c r="S629" s="192">
        <f>IF(AND(Daten!$AD629&lt;=Limits!$I$70,Daten!$AE629&gt;=Limits!$I$70)=TRUE,1,0)</f>
        <v>0</v>
      </c>
      <c r="T629" s="193">
        <f ca="1">IF(Daten!$Y629=Sprache!$A$135,1,0)</f>
        <v>0</v>
      </c>
      <c r="U629" s="124" t="str">
        <f ca="1">Sprache!$A$68</f>
        <v>T-65 Поворотный подъемник</v>
      </c>
      <c r="V629" s="194">
        <v>14</v>
      </c>
      <c r="W629" s="193">
        <v>14</v>
      </c>
      <c r="X629" s="187" t="str">
        <f ca="1">Sprache!$A$141</f>
        <v>Alu</v>
      </c>
      <c r="Y629" s="187" t="str">
        <f ca="1">Sprache!$A$136</f>
        <v>nein</v>
      </c>
      <c r="Z629" s="187" t="str">
        <f ca="1">Sprache!$A$79</f>
        <v>Створка</v>
      </c>
      <c r="AA629" s="187">
        <v>350</v>
      </c>
      <c r="AB629" s="124">
        <v>399</v>
      </c>
      <c r="AC629" s="187"/>
      <c r="AD629" s="195">
        <v>1.7</v>
      </c>
      <c r="AE629" s="196">
        <v>5.4</v>
      </c>
      <c r="AF629" s="263" t="str">
        <f>MID(Tabelle2[[#This Row],[bnr full]],1,4)</f>
        <v>F151</v>
      </c>
      <c r="AG629" s="264" t="str">
        <f>MID(Tabelle2[[#This Row],[bnr full]],5,3)</f>
        <v>147</v>
      </c>
      <c r="AH629" s="265" t="str">
        <f>MID(Tabelle2[[#This Row],[bnr full]],8,3)</f>
        <v>799</v>
      </c>
      <c r="AI629" s="264" t="str">
        <f>MID(Tabelle2[[#This Row],[bnr full]],11,3)</f>
        <v>201</v>
      </c>
      <c r="AJ629" s="252" t="str">
        <f>MID(Tabelle2[[#This Row],[bnr full]],11,3)</f>
        <v>201</v>
      </c>
      <c r="AK629" s="197" t="s">
        <v>1669</v>
      </c>
      <c r="AL629" s="124" t="str">
        <f ca="1">Sprache!$A$111</f>
        <v>Комплект (Л + П)</v>
      </c>
      <c r="AM629" s="187" t="s">
        <v>25</v>
      </c>
      <c r="AN629" s="187" t="str">
        <f ca="1">Sprache!$A$131</f>
        <v>Пружина, черная, двусторонняя</v>
      </c>
      <c r="AO629" s="187" t="s">
        <v>25</v>
      </c>
      <c r="AP629" s="187" t="s">
        <v>25</v>
      </c>
      <c r="AQ629" s="187">
        <f>Limits!$K$9</f>
        <v>200</v>
      </c>
      <c r="AR629" s="124">
        <v>1200</v>
      </c>
      <c r="AS629" s="187"/>
      <c r="AT629" s="124"/>
      <c r="AV629"/>
      <c r="AX629" s="10"/>
      <c r="AY629" s="11"/>
      <c r="AZ629" s="2"/>
      <c r="BC629"/>
    </row>
    <row r="630" spans="1:55" hidden="1" x14ac:dyDescent="0.25">
      <c r="A630" s="12" t="str">
        <f ca="1">IF(F630+G630+H630+I630+J630+D630+E630=3,IF(Tabelle2[[#This Row],[Kappe Weiß]]=Limits!$R$29,1,""),"")</f>
        <v/>
      </c>
      <c r="B630" s="12" t="str">
        <f ca="1">IF(G630+H630+I630+J630+E630+F630=2,IF(Tabelle2[[#This Row],[Kappe Weiß]]=Limits!$R$29,1,""),"")</f>
        <v/>
      </c>
      <c r="C630" s="291">
        <v>1</v>
      </c>
      <c r="D630" s="171">
        <f>IF(Limits!$P$6=TRUE,1,0)</f>
        <v>0</v>
      </c>
      <c r="E630" s="172">
        <f>IF(Daten!$P630+Daten!$Q630+Daten!$S630=3,1,0)</f>
        <v>0</v>
      </c>
      <c r="F630" s="173">
        <f ca="1">IF(AND(Limits!$Q$21=TRUE,Daten!O630=1)=TRUE,1,0)</f>
        <v>0</v>
      </c>
      <c r="G630" s="174">
        <f>IF(AND(Limits!$Q$25=TRUE,Daten!N630=1)=TRUE,1,0)</f>
        <v>0</v>
      </c>
      <c r="H630" s="174">
        <f>IF(AND(Limits!$Q$24=TRUE,Daten!M630=1)=TRUE,1,0)</f>
        <v>0</v>
      </c>
      <c r="I630" s="174">
        <f>IF(AND(Limits!$Q$23=TRUE,Daten!L630=1)=TRUE,1,0)</f>
        <v>0</v>
      </c>
      <c r="J630" s="174">
        <f>IF(AND(Limits!$Q$22=TRUE,Daten!K630=1)=TRUE,1,0)</f>
        <v>0</v>
      </c>
      <c r="K630" s="188">
        <f>IF(Daten!$V630=13,1,0)</f>
        <v>0</v>
      </c>
      <c r="L630" s="189">
        <f>IF(Daten!$V630&lt;&gt;Daten!$W630,1,IF(Daten!$V630=14,1,0))</f>
        <v>0</v>
      </c>
      <c r="M630" s="189">
        <f>IF(Daten!$V630&lt;&gt;Daten!$W630,1,IF(Daten!$V630=16,1,0))</f>
        <v>1</v>
      </c>
      <c r="N630" s="189">
        <f>IF(Daten!$W630=17,1,0)</f>
        <v>0</v>
      </c>
      <c r="O630" s="190">
        <f ca="1">IF(Daten!$X630=Sprache!$A$70,1,0)</f>
        <v>0</v>
      </c>
      <c r="P630" s="191">
        <f>IF(AND(Daten!$AQ630&lt;=KINVARO!$AW$3,Daten!$AR630&gt;=KINVARO!$AW$3)=TRUE,1,0)</f>
        <v>1</v>
      </c>
      <c r="Q630" s="192">
        <f>IF(AND(Daten!$AA630&lt;=KINVARO!$AW$4,Daten!$AB630&gt;=KINVARO!$AW$4)=TRUE,1,0)</f>
        <v>0</v>
      </c>
      <c r="R630" s="192"/>
      <c r="S630" s="192">
        <f>IF(AND(Daten!$AD630&lt;=Limits!$I$70,Daten!$AE630&gt;=Limits!$I$70)=TRUE,1,0)</f>
        <v>0</v>
      </c>
      <c r="T630" s="193">
        <f ca="1">IF(Daten!$Y630=Sprache!$A$135,1,0)</f>
        <v>0</v>
      </c>
      <c r="U630" s="124" t="str">
        <f ca="1">Sprache!$A$68</f>
        <v>T-65 Поворотный подъемник</v>
      </c>
      <c r="V630" s="194">
        <v>16</v>
      </c>
      <c r="W630" s="193">
        <v>16</v>
      </c>
      <c r="X630" s="187" t="str">
        <f ca="1">Sprache!$A$141</f>
        <v>Alu</v>
      </c>
      <c r="Y630" s="187" t="str">
        <f ca="1">Sprache!$A$136</f>
        <v>nein</v>
      </c>
      <c r="Z630" s="187" t="str">
        <f ca="1">Sprache!$A$79</f>
        <v>Створка</v>
      </c>
      <c r="AA630" s="187">
        <v>350</v>
      </c>
      <c r="AB630" s="124">
        <v>399</v>
      </c>
      <c r="AC630" s="187"/>
      <c r="AD630" s="195">
        <v>1</v>
      </c>
      <c r="AE630" s="196">
        <v>2.9</v>
      </c>
      <c r="AF630" s="263" t="str">
        <f>MID(Tabelle2[[#This Row],[bnr full]],1,4)</f>
        <v>F151</v>
      </c>
      <c r="AG630" s="264" t="str">
        <f>MID(Tabelle2[[#This Row],[bnr full]],5,3)</f>
        <v>147</v>
      </c>
      <c r="AH630" s="265" t="str">
        <f>MID(Tabelle2[[#This Row],[bnr full]],8,3)</f>
        <v>800</v>
      </c>
      <c r="AI630" s="264" t="str">
        <f>MID(Tabelle2[[#This Row],[bnr full]],11,3)</f>
        <v>201</v>
      </c>
      <c r="AJ630" s="252" t="str">
        <f>MID(Tabelle2[[#This Row],[bnr full]],11,3)</f>
        <v>201</v>
      </c>
      <c r="AK630" s="197" t="s">
        <v>1670</v>
      </c>
      <c r="AL630" s="124" t="str">
        <f ca="1">Sprache!$A$111</f>
        <v>Комплект (Л + П)</v>
      </c>
      <c r="AM630" s="187" t="s">
        <v>25</v>
      </c>
      <c r="AN630" s="187" t="str">
        <f ca="1">Sprache!$A$130</f>
        <v>Пружина, желтая, двусторонняя</v>
      </c>
      <c r="AO630" s="187" t="s">
        <v>25</v>
      </c>
      <c r="AP630" s="187" t="s">
        <v>25</v>
      </c>
      <c r="AQ630" s="187">
        <f>Limits!$K$9</f>
        <v>200</v>
      </c>
      <c r="AR630" s="124">
        <v>1200</v>
      </c>
      <c r="AS630" s="187"/>
      <c r="AT630" s="124"/>
      <c r="AV630"/>
      <c r="AX630" s="10"/>
      <c r="AY630" s="11"/>
      <c r="AZ630" s="2"/>
      <c r="BC630"/>
    </row>
    <row r="631" spans="1:55" hidden="1" x14ac:dyDescent="0.25">
      <c r="A631" s="12" t="str">
        <f ca="1">IF(F631+G631+H631+I631+J631+D631+E631=3,IF(Tabelle2[[#This Row],[Kappe Weiß]]=Limits!$R$29,1,""),"")</f>
        <v/>
      </c>
      <c r="B631" s="12" t="str">
        <f ca="1">IF(G631+H631+I631+J631+E631+F631=2,IF(Tabelle2[[#This Row],[Kappe Weiß]]=Limits!$R$29,1,""),"")</f>
        <v/>
      </c>
      <c r="C631" s="291">
        <v>1</v>
      </c>
      <c r="D631" s="171">
        <f>IF(Limits!$P$6=TRUE,1,0)</f>
        <v>0</v>
      </c>
      <c r="E631" s="172">
        <f>IF(Daten!$P631+Daten!$Q631+Daten!$S631=3,1,0)</f>
        <v>0</v>
      </c>
      <c r="F631" s="173">
        <f ca="1">IF(AND(Limits!$Q$21=TRUE,Daten!O631=1)=TRUE,1,0)</f>
        <v>0</v>
      </c>
      <c r="G631" s="174">
        <f>IF(AND(Limits!$Q$25=TRUE,Daten!N631=1)=TRUE,1,0)</f>
        <v>0</v>
      </c>
      <c r="H631" s="174">
        <f>IF(AND(Limits!$Q$24=TRUE,Daten!M631=1)=TRUE,1,0)</f>
        <v>0</v>
      </c>
      <c r="I631" s="174">
        <f>IF(AND(Limits!$Q$23=TRUE,Daten!L631=1)=TRUE,1,0)</f>
        <v>0</v>
      </c>
      <c r="J631" s="174">
        <f>IF(AND(Limits!$Q$22=TRUE,Daten!K631=1)=TRUE,1,0)</f>
        <v>0</v>
      </c>
      <c r="K631" s="188">
        <f>IF(Daten!$V631=13,1,0)</f>
        <v>0</v>
      </c>
      <c r="L631" s="189">
        <f>IF(Daten!$V631&lt;&gt;Daten!$W631,1,IF(Daten!$V631=14,1,0))</f>
        <v>0</v>
      </c>
      <c r="M631" s="189">
        <f>IF(Daten!$V631&lt;&gt;Daten!$W631,1,IF(Daten!$V631=16,1,0))</f>
        <v>1</v>
      </c>
      <c r="N631" s="189">
        <f>IF(Daten!$W631=17,1,0)</f>
        <v>0</v>
      </c>
      <c r="O631" s="190">
        <f ca="1">IF(Daten!$X631=Sprache!$A$70,1,0)</f>
        <v>0</v>
      </c>
      <c r="P631" s="191">
        <f>IF(AND(Daten!$AQ631&lt;=KINVARO!$AW$3,Daten!$AR631&gt;=KINVARO!$AW$3)=TRUE,1,0)</f>
        <v>1</v>
      </c>
      <c r="Q631" s="192">
        <f>IF(AND(Daten!$AA631&lt;=KINVARO!$AW$4,Daten!$AB631&gt;=KINVARO!$AW$4)=TRUE,1,0)</f>
        <v>0</v>
      </c>
      <c r="R631" s="192"/>
      <c r="S631" s="192">
        <f>IF(AND(Daten!$AD631&lt;=Limits!$I$70,Daten!$AE631&gt;=Limits!$I$70)=TRUE,1,0)</f>
        <v>0</v>
      </c>
      <c r="T631" s="193">
        <f ca="1">IF(Daten!$Y631=Sprache!$A$135,1,0)</f>
        <v>0</v>
      </c>
      <c r="U631" s="124" t="str">
        <f ca="1">Sprache!$A$68</f>
        <v>T-65 Поворотный подъемник</v>
      </c>
      <c r="V631" s="194">
        <v>16</v>
      </c>
      <c r="W631" s="193">
        <v>16</v>
      </c>
      <c r="X631" s="187" t="str">
        <f ca="1">Sprache!$A$141</f>
        <v>Alu</v>
      </c>
      <c r="Y631" s="187" t="str">
        <f ca="1">Sprache!$A$136</f>
        <v>nein</v>
      </c>
      <c r="Z631" s="187" t="str">
        <f ca="1">Sprache!$A$79</f>
        <v>Створка</v>
      </c>
      <c r="AA631" s="187">
        <v>350</v>
      </c>
      <c r="AB631" s="124">
        <v>399</v>
      </c>
      <c r="AC631" s="187"/>
      <c r="AD631" s="195">
        <v>1.7</v>
      </c>
      <c r="AE631" s="196">
        <v>5.4</v>
      </c>
      <c r="AF631" s="263" t="str">
        <f>MID(Tabelle2[[#This Row],[bnr full]],1,4)</f>
        <v>F151</v>
      </c>
      <c r="AG631" s="264" t="str">
        <f>MID(Tabelle2[[#This Row],[bnr full]],5,3)</f>
        <v>147</v>
      </c>
      <c r="AH631" s="265" t="str">
        <f>MID(Tabelle2[[#This Row],[bnr full]],8,3)</f>
        <v>800</v>
      </c>
      <c r="AI631" s="264" t="str">
        <f>MID(Tabelle2[[#This Row],[bnr full]],11,3)</f>
        <v>201</v>
      </c>
      <c r="AJ631" s="252" t="str">
        <f>MID(Tabelle2[[#This Row],[bnr full]],11,3)</f>
        <v>201</v>
      </c>
      <c r="AK631" s="197" t="s">
        <v>1670</v>
      </c>
      <c r="AL631" s="124" t="str">
        <f ca="1">Sprache!$A$111</f>
        <v>Комплект (Л + П)</v>
      </c>
      <c r="AM631" s="187" t="s">
        <v>25</v>
      </c>
      <c r="AN631" s="187" t="str">
        <f ca="1">Sprache!$A$131</f>
        <v>Пружина, черная, двусторонняя</v>
      </c>
      <c r="AO631" s="187" t="s">
        <v>25</v>
      </c>
      <c r="AP631" s="187" t="s">
        <v>25</v>
      </c>
      <c r="AQ631" s="187">
        <f>Limits!$K$9</f>
        <v>200</v>
      </c>
      <c r="AR631" s="124">
        <v>1200</v>
      </c>
      <c r="AS631" s="187"/>
      <c r="AT631" s="124"/>
      <c r="AV631"/>
      <c r="AX631" s="10"/>
      <c r="AY631" s="11"/>
      <c r="AZ631" s="2"/>
      <c r="BC631"/>
    </row>
    <row r="632" spans="1:55" hidden="1" x14ac:dyDescent="0.25">
      <c r="A632" s="12" t="str">
        <f ca="1">IF(F632+G632+H632+I632+J632+D632+E632=3,IF(Tabelle2[[#This Row],[Kappe Weiß]]=Limits!$R$29,1,""),"")</f>
        <v/>
      </c>
      <c r="B632" s="12" t="str">
        <f ca="1">IF(G632+H632+I632+J632+E632+F632=2,IF(Tabelle2[[#This Row],[Kappe Weiß]]=Limits!$R$29,1,""),"")</f>
        <v/>
      </c>
      <c r="C632" s="291">
        <v>1</v>
      </c>
      <c r="D632" s="171">
        <f>IF(Limits!$P$6=TRUE,1,0)</f>
        <v>0</v>
      </c>
      <c r="E632" s="172">
        <f>IF(Daten!$P632+Daten!$Q632+Daten!$S632=3,1,0)</f>
        <v>0</v>
      </c>
      <c r="F632" s="173">
        <f ca="1">IF(AND(Limits!$Q$21=TRUE,Daten!O632=1)=TRUE,1,0)</f>
        <v>0</v>
      </c>
      <c r="G632" s="174">
        <f>IF(AND(Limits!$Q$25=TRUE,Daten!N632=1)=TRUE,1,0)</f>
        <v>0</v>
      </c>
      <c r="H632" s="174">
        <f>IF(AND(Limits!$Q$24=TRUE,Daten!M632=1)=TRUE,1,0)</f>
        <v>0</v>
      </c>
      <c r="I632" s="174">
        <f>IF(AND(Limits!$Q$23=TRUE,Daten!L632=1)=TRUE,1,0)</f>
        <v>0</v>
      </c>
      <c r="J632" s="174">
        <f>IF(AND(Limits!$Q$22=TRUE,Daten!K632=1)=TRUE,1,0)</f>
        <v>0</v>
      </c>
      <c r="K632" s="188">
        <f>IF(Daten!$V632=13,1,0)</f>
        <v>0</v>
      </c>
      <c r="L632" s="189">
        <f>IF(Daten!$V632&lt;&gt;Daten!$W632,1,IF(Daten!$V632=14,1,0))</f>
        <v>0</v>
      </c>
      <c r="M632" s="189">
        <f>IF(Daten!$V632&lt;&gt;Daten!$W632,1,IF(Daten!$V632=16,1,0))</f>
        <v>0</v>
      </c>
      <c r="N632" s="189">
        <f>IF(Daten!$W632=17,1,0)</f>
        <v>1</v>
      </c>
      <c r="O632" s="190">
        <f ca="1">IF(Daten!$X632=Sprache!$A$70,1,0)</f>
        <v>0</v>
      </c>
      <c r="P632" s="191">
        <f>IF(AND(Daten!$AQ632&lt;=KINVARO!$AW$3,Daten!$AR632&gt;=KINVARO!$AW$3)=TRUE,1,0)</f>
        <v>1</v>
      </c>
      <c r="Q632" s="192">
        <f>IF(AND(Daten!$AA632&lt;=KINVARO!$AW$4,Daten!$AB632&gt;=KINVARO!$AW$4)=TRUE,1,0)</f>
        <v>0</v>
      </c>
      <c r="R632" s="192"/>
      <c r="S632" s="192">
        <f>IF(AND(Daten!$AD632&lt;=Limits!$I$70,Daten!$AE632&gt;=Limits!$I$70)=TRUE,1,0)</f>
        <v>0</v>
      </c>
      <c r="T632" s="193">
        <f ca="1">IF(Daten!$Y632=Sprache!$A$135,1,0)</f>
        <v>0</v>
      </c>
      <c r="U632" s="124" t="str">
        <f ca="1">Sprache!$A$68</f>
        <v>T-65 Поворотный подъемник</v>
      </c>
      <c r="V632" s="194">
        <v>17</v>
      </c>
      <c r="W632" s="193">
        <v>17</v>
      </c>
      <c r="X632" s="187" t="str">
        <f ca="1">Sprache!$A$141</f>
        <v>Alu</v>
      </c>
      <c r="Y632" s="187" t="str">
        <f ca="1">Sprache!$A$136</f>
        <v>nein</v>
      </c>
      <c r="Z632" s="187" t="str">
        <f ca="1">Sprache!$A$79</f>
        <v>Створка</v>
      </c>
      <c r="AA632" s="187">
        <v>350</v>
      </c>
      <c r="AB632" s="124">
        <v>399</v>
      </c>
      <c r="AC632" s="187"/>
      <c r="AD632" s="195">
        <v>1</v>
      </c>
      <c r="AE632" s="196">
        <v>2.9</v>
      </c>
      <c r="AF632" s="263" t="str">
        <f>MID(Tabelle2[[#This Row],[bnr full]],1,4)</f>
        <v>F151</v>
      </c>
      <c r="AG632" s="264" t="str">
        <f>MID(Tabelle2[[#This Row],[bnr full]],5,3)</f>
        <v>147</v>
      </c>
      <c r="AH632" s="265" t="str">
        <f>MID(Tabelle2[[#This Row],[bnr full]],8,3)</f>
        <v>801</v>
      </c>
      <c r="AI632" s="264" t="str">
        <f>MID(Tabelle2[[#This Row],[bnr full]],11,3)</f>
        <v>201</v>
      </c>
      <c r="AJ632" s="252" t="str">
        <f>MID(Tabelle2[[#This Row],[bnr full]],11,3)</f>
        <v>201</v>
      </c>
      <c r="AK632" s="197" t="s">
        <v>1671</v>
      </c>
      <c r="AL632" s="124" t="str">
        <f ca="1">Sprache!$A$111</f>
        <v>Комплект (Л + П)</v>
      </c>
      <c r="AM632" s="187" t="s">
        <v>25</v>
      </c>
      <c r="AN632" s="187" t="str">
        <f ca="1">Sprache!$A$130</f>
        <v>Пружина, желтая, двусторонняя</v>
      </c>
      <c r="AO632" s="187" t="s">
        <v>25</v>
      </c>
      <c r="AP632" s="187" t="s">
        <v>25</v>
      </c>
      <c r="AQ632" s="187">
        <f>Limits!$K$9</f>
        <v>200</v>
      </c>
      <c r="AR632" s="124">
        <v>1200</v>
      </c>
      <c r="AS632" s="187"/>
      <c r="AT632" s="124"/>
      <c r="AV632"/>
      <c r="AX632" s="10"/>
      <c r="AY632" s="11"/>
      <c r="AZ632" s="2"/>
      <c r="BC632"/>
    </row>
    <row r="633" spans="1:55" hidden="1" x14ac:dyDescent="0.25">
      <c r="A633" s="12" t="str">
        <f ca="1">IF(F633+G633+H633+I633+J633+D633+E633=3,IF(Tabelle2[[#This Row],[Kappe Weiß]]=Limits!$R$29,1,""),"")</f>
        <v/>
      </c>
      <c r="B633" s="12" t="str">
        <f ca="1">IF(G633+H633+I633+J633+E633+F633=2,IF(Tabelle2[[#This Row],[Kappe Weiß]]=Limits!$R$29,1,""),"")</f>
        <v/>
      </c>
      <c r="C633" s="291">
        <v>1</v>
      </c>
      <c r="D633" s="171">
        <f>IF(Limits!$P$6=TRUE,1,0)</f>
        <v>0</v>
      </c>
      <c r="E633" s="172">
        <f>IF(Daten!$P633+Daten!$Q633+Daten!$S633=3,1,0)</f>
        <v>0</v>
      </c>
      <c r="F633" s="173">
        <f ca="1">IF(AND(Limits!$Q$21=TRUE,Daten!O633=1)=TRUE,1,0)</f>
        <v>0</v>
      </c>
      <c r="G633" s="174">
        <f>IF(AND(Limits!$Q$25=TRUE,Daten!N633=1)=TRUE,1,0)</f>
        <v>0</v>
      </c>
      <c r="H633" s="174">
        <f>IF(AND(Limits!$Q$24=TRUE,Daten!M633=1)=TRUE,1,0)</f>
        <v>0</v>
      </c>
      <c r="I633" s="174">
        <f>IF(AND(Limits!$Q$23=TRUE,Daten!L633=1)=TRUE,1,0)</f>
        <v>0</v>
      </c>
      <c r="J633" s="174">
        <f>IF(AND(Limits!$Q$22=TRUE,Daten!K633=1)=TRUE,1,0)</f>
        <v>0</v>
      </c>
      <c r="K633" s="188">
        <f>IF(Daten!$V633=13,1,0)</f>
        <v>0</v>
      </c>
      <c r="L633" s="189">
        <f>IF(Daten!$V633&lt;&gt;Daten!$W633,1,IF(Daten!$V633=14,1,0))</f>
        <v>0</v>
      </c>
      <c r="M633" s="189">
        <f>IF(Daten!$V633&lt;&gt;Daten!$W633,1,IF(Daten!$V633=16,1,0))</f>
        <v>0</v>
      </c>
      <c r="N633" s="189">
        <f>IF(Daten!$W633=17,1,0)</f>
        <v>1</v>
      </c>
      <c r="O633" s="190">
        <f ca="1">IF(Daten!$X633=Sprache!$A$70,1,0)</f>
        <v>0</v>
      </c>
      <c r="P633" s="191">
        <f>IF(AND(Daten!$AQ633&lt;=KINVARO!$AW$3,Daten!$AR633&gt;=KINVARO!$AW$3)=TRUE,1,0)</f>
        <v>1</v>
      </c>
      <c r="Q633" s="192">
        <f>IF(AND(Daten!$AA633&lt;=KINVARO!$AW$4,Daten!$AB633&gt;=KINVARO!$AW$4)=TRUE,1,0)</f>
        <v>0</v>
      </c>
      <c r="R633" s="192"/>
      <c r="S633" s="192">
        <f>IF(AND(Daten!$AD633&lt;=Limits!$I$70,Daten!$AE633&gt;=Limits!$I$70)=TRUE,1,0)</f>
        <v>0</v>
      </c>
      <c r="T633" s="193">
        <f ca="1">IF(Daten!$Y633=Sprache!$A$135,1,0)</f>
        <v>0</v>
      </c>
      <c r="U633" s="124" t="str">
        <f ca="1">Sprache!$A$68</f>
        <v>T-65 Поворотный подъемник</v>
      </c>
      <c r="V633" s="194">
        <v>17</v>
      </c>
      <c r="W633" s="193">
        <v>17</v>
      </c>
      <c r="X633" s="187" t="str">
        <f ca="1">Sprache!$A$141</f>
        <v>Alu</v>
      </c>
      <c r="Y633" s="187" t="str">
        <f ca="1">Sprache!$A$136</f>
        <v>nein</v>
      </c>
      <c r="Z633" s="187" t="str">
        <f ca="1">Sprache!$A$79</f>
        <v>Створка</v>
      </c>
      <c r="AA633" s="187">
        <v>350</v>
      </c>
      <c r="AB633" s="124">
        <v>399</v>
      </c>
      <c r="AC633" s="187"/>
      <c r="AD633" s="195">
        <v>1.7</v>
      </c>
      <c r="AE633" s="196">
        <v>5.4</v>
      </c>
      <c r="AF633" s="263" t="str">
        <f>MID(Tabelle2[[#This Row],[bnr full]],1,4)</f>
        <v>F151</v>
      </c>
      <c r="AG633" s="264" t="str">
        <f>MID(Tabelle2[[#This Row],[bnr full]],5,3)</f>
        <v>147</v>
      </c>
      <c r="AH633" s="265" t="str">
        <f>MID(Tabelle2[[#This Row],[bnr full]],8,3)</f>
        <v>801</v>
      </c>
      <c r="AI633" s="264" t="str">
        <f>MID(Tabelle2[[#This Row],[bnr full]],11,3)</f>
        <v>201</v>
      </c>
      <c r="AJ633" s="252" t="str">
        <f>MID(Tabelle2[[#This Row],[bnr full]],11,3)</f>
        <v>201</v>
      </c>
      <c r="AK633" s="197" t="s">
        <v>1671</v>
      </c>
      <c r="AL633" s="124" t="str">
        <f ca="1">Sprache!$A$111</f>
        <v>Комплект (Л + П)</v>
      </c>
      <c r="AM633" s="187" t="s">
        <v>25</v>
      </c>
      <c r="AN633" s="187" t="str">
        <f ca="1">Sprache!$A$131</f>
        <v>Пружина, черная, двусторонняя</v>
      </c>
      <c r="AO633" s="187" t="s">
        <v>25</v>
      </c>
      <c r="AP633" s="187" t="s">
        <v>25</v>
      </c>
      <c r="AQ633" s="187">
        <f>Limits!$K$9</f>
        <v>200</v>
      </c>
      <c r="AR633" s="124">
        <v>1200</v>
      </c>
      <c r="AS633" s="187"/>
      <c r="AT633" s="124"/>
      <c r="AV633"/>
      <c r="AX633" s="10"/>
      <c r="AY633" s="11"/>
      <c r="AZ633" s="2"/>
      <c r="BC633"/>
    </row>
    <row r="634" spans="1:55" hidden="1" x14ac:dyDescent="0.25">
      <c r="A634" s="12" t="str">
        <f ca="1">IF(F634+G634+H634+I634+J634+D634+E634=3,IF(Tabelle2[[#This Row],[Kappe Weiß]]=Limits!$R$29,1,""),"")</f>
        <v/>
      </c>
      <c r="B634" s="12" t="str">
        <f ca="1">IF(G634+H634+I634+J634+E634+F634=2,IF(Tabelle2[[#This Row],[Kappe Weiß]]=Limits!$R$29,1,""),"")</f>
        <v/>
      </c>
      <c r="C634" s="292">
        <v>1</v>
      </c>
      <c r="D634" s="171">
        <f>IF(Limits!$P$6=TRUE,1,0)</f>
        <v>0</v>
      </c>
      <c r="E634" s="172">
        <f>IF(Daten!$P634+Daten!$Q634+Daten!$S634=3,1,0)</f>
        <v>0</v>
      </c>
      <c r="F634" s="173">
        <f ca="1">IF(AND(Limits!$Q$21=TRUE,Daten!O634=1)=TRUE,1,0)</f>
        <v>1</v>
      </c>
      <c r="G634" s="174">
        <f ca="1">IF(AND(Limits!$Q$25=TRUE,Daten!N634=1)=TRUE,1,0)</f>
        <v>0</v>
      </c>
      <c r="H634" s="174">
        <f ca="1">IF(AND(Limits!$Q$24=TRUE,Daten!M634=1)=TRUE,1,0)</f>
        <v>0</v>
      </c>
      <c r="I634" s="174">
        <f ca="1">IF(AND(Limits!$Q$23=TRUE,Daten!L634=1)=TRUE,1,0)</f>
        <v>0</v>
      </c>
      <c r="J634" s="174">
        <f ca="1">IF(AND(Limits!$Q$22=TRUE,Daten!K634=1)=TRUE,1,0)</f>
        <v>0</v>
      </c>
      <c r="K634" s="188">
        <f ca="1">IF(Daten!$V634=13,1,0)</f>
        <v>0</v>
      </c>
      <c r="L634" s="189">
        <f ca="1">IF(Daten!$V634&lt;&gt;Daten!$W634,1,IF(Daten!$V634=14,1,0))</f>
        <v>0</v>
      </c>
      <c r="M634" s="189">
        <f ca="1">IF(Daten!$V634&lt;&gt;Daten!$W634,1,IF(Daten!$V634=16,1,0))</f>
        <v>0</v>
      </c>
      <c r="N634" s="189">
        <f ca="1">IF(Daten!$W634=17,1,0)</f>
        <v>0</v>
      </c>
      <c r="O634" s="190">
        <f ca="1">IF(Daten!$X634=Sprache!$A$70,1,0)</f>
        <v>1</v>
      </c>
      <c r="P634" s="198">
        <f>IF(AND(Daten!$AQ634&lt;=KINVARO!$AW$3,Daten!$AR634&gt;=KINVARO!$AW$3)=TRUE,1,0)</f>
        <v>1</v>
      </c>
      <c r="Q634" s="199">
        <f>IF(AND(Daten!$AA634&lt;=KINVARO!$AW$4,Daten!$AB634&gt;=KINVARO!$AW$4)=TRUE,1,0)</f>
        <v>0</v>
      </c>
      <c r="R634" s="199"/>
      <c r="S634" s="199">
        <f>IF(AND(Daten!$AD634&lt;=Limits!$I$70,Daten!$AE634&gt;=Limits!$I$70)=TRUE,1,0)</f>
        <v>0</v>
      </c>
      <c r="T634" s="200">
        <f ca="1">IF(Daten!$Y634=Sprache!$A$135,1,0)</f>
        <v>0</v>
      </c>
      <c r="U634" s="201" t="str">
        <f ca="1">Sprache!$A$68</f>
        <v>T-65 Поворотный подъемник</v>
      </c>
      <c r="V634" s="202" t="str">
        <f ca="1">Sprache!$A$74</f>
        <v>var</v>
      </c>
      <c r="W634" s="200" t="str">
        <f ca="1">Sprache!$A$74</f>
        <v>var</v>
      </c>
      <c r="X634" s="203" t="str">
        <f ca="1">Sprache!$A$70</f>
        <v>соединение с древесиной</v>
      </c>
      <c r="Y634" s="187" t="str">
        <f ca="1">Sprache!$A$136</f>
        <v>nein</v>
      </c>
      <c r="Z634" s="203" t="str">
        <f ca="1">Sprache!$A$79</f>
        <v>Створка</v>
      </c>
      <c r="AA634" s="203">
        <v>400</v>
      </c>
      <c r="AB634" s="201">
        <v>449</v>
      </c>
      <c r="AC634" s="203"/>
      <c r="AD634" s="204">
        <v>0.8</v>
      </c>
      <c r="AE634" s="205">
        <v>2.5</v>
      </c>
      <c r="AF634" s="266" t="str">
        <f>MID(Tabelle2[[#This Row],[bnr full]],1,4)</f>
        <v>F151</v>
      </c>
      <c r="AG634" s="267" t="str">
        <f>MID(Tabelle2[[#This Row],[bnr full]],5,3)</f>
        <v>147</v>
      </c>
      <c r="AH634" s="268" t="str">
        <f>MID(Tabelle2[[#This Row],[bnr full]],8,3)</f>
        <v>797</v>
      </c>
      <c r="AI634" s="267" t="str">
        <f>MID(Tabelle2[[#This Row],[bnr full]],11,3)</f>
        <v>201</v>
      </c>
      <c r="AJ634" s="253" t="str">
        <f>MID(Tabelle2[[#This Row],[bnr full]],11,3)</f>
        <v>201</v>
      </c>
      <c r="AK634" s="197" t="s">
        <v>1667</v>
      </c>
      <c r="AL634" s="201" t="str">
        <f ca="1">Sprache!$A$111</f>
        <v>Комплект (Л + П)</v>
      </c>
      <c r="AM634" s="203" t="s">
        <v>25</v>
      </c>
      <c r="AN634" s="203" t="str">
        <f ca="1">Sprache!$A$130</f>
        <v>Пружина, желтая, двусторонняя</v>
      </c>
      <c r="AO634" s="187" t="s">
        <v>25</v>
      </c>
      <c r="AP634" s="187" t="s">
        <v>25</v>
      </c>
      <c r="AQ634" s="203">
        <f>Limits!$K$9</f>
        <v>200</v>
      </c>
      <c r="AR634" s="201">
        <v>1200</v>
      </c>
      <c r="AS634" s="187"/>
      <c r="AT634" s="124"/>
      <c r="AV634"/>
      <c r="AX634" s="10"/>
      <c r="AY634" s="11"/>
      <c r="AZ634" s="2"/>
      <c r="BC634"/>
    </row>
    <row r="635" spans="1:55" hidden="1" x14ac:dyDescent="0.25">
      <c r="A635" s="12" t="str">
        <f ca="1">IF(F635+G635+H635+I635+J635+D635+E635=3,IF(Tabelle2[[#This Row],[Kappe Weiß]]=Limits!$R$29,1,""),"")</f>
        <v/>
      </c>
      <c r="B635" s="12" t="str">
        <f ca="1">IF(G635+H635+I635+J635+E635+F635=2,IF(Tabelle2[[#This Row],[Kappe Weiß]]=Limits!$R$29,1,""),"")</f>
        <v/>
      </c>
      <c r="C635" s="291">
        <v>1</v>
      </c>
      <c r="D635" s="171">
        <f>IF(Limits!$P$6=TRUE,1,0)</f>
        <v>0</v>
      </c>
      <c r="E635" s="172">
        <f>IF(Daten!$P635+Daten!$Q635+Daten!$S635=3,1,0)</f>
        <v>0</v>
      </c>
      <c r="F635" s="173">
        <f ca="1">IF(AND(Limits!$Q$21=TRUE,Daten!O635=1)=TRUE,1,0)</f>
        <v>1</v>
      </c>
      <c r="G635" s="174">
        <f ca="1">IF(AND(Limits!$Q$25=TRUE,Daten!N635=1)=TRUE,1,0)</f>
        <v>0</v>
      </c>
      <c r="H635" s="174">
        <f ca="1">IF(AND(Limits!$Q$24=TRUE,Daten!M635=1)=TRUE,1,0)</f>
        <v>0</v>
      </c>
      <c r="I635" s="174">
        <f ca="1">IF(AND(Limits!$Q$23=TRUE,Daten!L635=1)=TRUE,1,0)</f>
        <v>0</v>
      </c>
      <c r="J635" s="174">
        <f ca="1">IF(AND(Limits!$Q$22=TRUE,Daten!K635=1)=TRUE,1,0)</f>
        <v>0</v>
      </c>
      <c r="K635" s="188">
        <f ca="1">IF(Daten!$V635=13,1,0)</f>
        <v>0</v>
      </c>
      <c r="L635" s="189">
        <f ca="1">IF(Daten!$V635&lt;&gt;Daten!$W635,1,IF(Daten!$V635=14,1,0))</f>
        <v>0</v>
      </c>
      <c r="M635" s="189">
        <f ca="1">IF(Daten!$V635&lt;&gt;Daten!$W635,1,IF(Daten!$V635=16,1,0))</f>
        <v>0</v>
      </c>
      <c r="N635" s="189">
        <f ca="1">IF(Daten!$W635=17,1,0)</f>
        <v>0</v>
      </c>
      <c r="O635" s="190">
        <f ca="1">IF(Daten!$X635=Sprache!$A$70,1,0)</f>
        <v>1</v>
      </c>
      <c r="P635" s="191">
        <f>IF(AND(Daten!$AQ635&lt;=KINVARO!$AW$3,Daten!$AR635&gt;=KINVARO!$AW$3)=TRUE,1,0)</f>
        <v>1</v>
      </c>
      <c r="Q635" s="192">
        <f>IF(AND(Daten!$AA635&lt;=KINVARO!$AW$4,Daten!$AB635&gt;=KINVARO!$AW$4)=TRUE,1,0)</f>
        <v>0</v>
      </c>
      <c r="R635" s="192"/>
      <c r="S635" s="192">
        <f>IF(AND(Daten!$AD635&lt;=Limits!$I$70,Daten!$AE635&gt;=Limits!$I$70)=TRUE,1,0)</f>
        <v>0</v>
      </c>
      <c r="T635" s="193">
        <f ca="1">IF(Daten!$Y635=Sprache!$A$135,1,0)</f>
        <v>0</v>
      </c>
      <c r="U635" s="124" t="str">
        <f ca="1">Sprache!$A$68</f>
        <v>T-65 Поворотный подъемник</v>
      </c>
      <c r="V635" s="194" t="str">
        <f ca="1">Sprache!$A$74</f>
        <v>var</v>
      </c>
      <c r="W635" s="193" t="str">
        <f ca="1">Sprache!$A$74</f>
        <v>var</v>
      </c>
      <c r="X635" s="187" t="str">
        <f ca="1">Sprache!$A$70</f>
        <v>соединение с древесиной</v>
      </c>
      <c r="Y635" s="187" t="str">
        <f ca="1">Sprache!$A$136</f>
        <v>nein</v>
      </c>
      <c r="Z635" s="187" t="str">
        <f ca="1">Sprache!$A$79</f>
        <v>Створка</v>
      </c>
      <c r="AA635" s="187">
        <v>400</v>
      </c>
      <c r="AB635" s="124">
        <v>449</v>
      </c>
      <c r="AC635" s="187"/>
      <c r="AD635" s="195">
        <v>1.5</v>
      </c>
      <c r="AE635" s="196">
        <v>4.7</v>
      </c>
      <c r="AF635" s="263" t="str">
        <f>MID(Tabelle2[[#This Row],[bnr full]],1,4)</f>
        <v>F151</v>
      </c>
      <c r="AG635" s="264" t="str">
        <f>MID(Tabelle2[[#This Row],[bnr full]],5,3)</f>
        <v>147</v>
      </c>
      <c r="AH635" s="265" t="str">
        <f>MID(Tabelle2[[#This Row],[bnr full]],8,3)</f>
        <v>797</v>
      </c>
      <c r="AI635" s="264" t="str">
        <f>MID(Tabelle2[[#This Row],[bnr full]],11,3)</f>
        <v>201</v>
      </c>
      <c r="AJ635" s="252" t="str">
        <f>MID(Tabelle2[[#This Row],[bnr full]],11,3)</f>
        <v>201</v>
      </c>
      <c r="AK635" s="197" t="s">
        <v>1667</v>
      </c>
      <c r="AL635" s="124" t="str">
        <f ca="1">Sprache!$A$111</f>
        <v>Комплект (Л + П)</v>
      </c>
      <c r="AM635" s="187" t="s">
        <v>25</v>
      </c>
      <c r="AN635" s="187" t="str">
        <f ca="1">Sprache!$A$131</f>
        <v>Пружина, черная, двусторонняя</v>
      </c>
      <c r="AO635" s="187" t="s">
        <v>25</v>
      </c>
      <c r="AP635" s="187" t="s">
        <v>25</v>
      </c>
      <c r="AQ635" s="187">
        <f>Limits!$K$9</f>
        <v>200</v>
      </c>
      <c r="AR635" s="124">
        <v>1200</v>
      </c>
      <c r="AS635" s="187"/>
      <c r="AT635" s="124"/>
      <c r="AV635"/>
      <c r="AX635" s="10"/>
      <c r="AY635" s="11"/>
      <c r="AZ635" s="2"/>
      <c r="BC635"/>
    </row>
    <row r="636" spans="1:55" hidden="1" x14ac:dyDescent="0.25">
      <c r="A636" s="12" t="str">
        <f ca="1">IF(F636+G636+H636+I636+J636+D636+E636=3,IF(Tabelle2[[#This Row],[Kappe Weiß]]=Limits!$R$29,1,""),"")</f>
        <v/>
      </c>
      <c r="B636" s="12" t="str">
        <f ca="1">IF(G636+H636+I636+J636+E636+F636=2,IF(Tabelle2[[#This Row],[Kappe Weiß]]=Limits!$R$29,1,""),"")</f>
        <v/>
      </c>
      <c r="C636" s="291">
        <v>1</v>
      </c>
      <c r="D636" s="171">
        <f>IF(Limits!$P$6=TRUE,1,0)</f>
        <v>0</v>
      </c>
      <c r="E636" s="172">
        <f>IF(Daten!$P636+Daten!$Q636+Daten!$S636=3,1,0)</f>
        <v>0</v>
      </c>
      <c r="F636" s="173">
        <f ca="1">IF(AND(Limits!$Q$21=TRUE,Daten!O636=1)=TRUE,1,0)</f>
        <v>0</v>
      </c>
      <c r="G636" s="174">
        <f>IF(AND(Limits!$Q$25=TRUE,Daten!N636=1)=TRUE,1,0)</f>
        <v>0</v>
      </c>
      <c r="H636" s="174">
        <f>IF(AND(Limits!$Q$24=TRUE,Daten!M636=1)=TRUE,1,0)</f>
        <v>0</v>
      </c>
      <c r="I636" s="174">
        <f>IF(AND(Limits!$Q$23=TRUE,Daten!L636=1)=TRUE,1,0)</f>
        <v>0</v>
      </c>
      <c r="J636" s="174">
        <f>IF(AND(Limits!$Q$22=TRUE,Daten!K636=1)=TRUE,1,0)</f>
        <v>0</v>
      </c>
      <c r="K636" s="188">
        <f>IF(Daten!$V636=13,1,0)</f>
        <v>1</v>
      </c>
      <c r="L636" s="189">
        <f>IF(Daten!$V636&lt;&gt;Daten!$W636,1,IF(Daten!$V636=14,1,0))</f>
        <v>0</v>
      </c>
      <c r="M636" s="189">
        <f>IF(Daten!$V636&lt;&gt;Daten!$W636,1,IF(Daten!$V636=16,1,0))</f>
        <v>0</v>
      </c>
      <c r="N636" s="189">
        <f>IF(Daten!$W636=17,1,0)</f>
        <v>0</v>
      </c>
      <c r="O636" s="190">
        <f ca="1">IF(Daten!$X636=Sprache!$A$70,1,0)</f>
        <v>0</v>
      </c>
      <c r="P636" s="191">
        <f>IF(AND(Daten!$AQ636&lt;=KINVARO!$AW$3,Daten!$AR636&gt;=KINVARO!$AW$3)=TRUE,1,0)</f>
        <v>1</v>
      </c>
      <c r="Q636" s="192">
        <f>IF(AND(Daten!$AA636&lt;=KINVARO!$AW$4,Daten!$AB636&gt;=KINVARO!$AW$4)=TRUE,1,0)</f>
        <v>0</v>
      </c>
      <c r="R636" s="192"/>
      <c r="S636" s="192">
        <f>IF(AND(Daten!$AD636&lt;=Limits!$I$70,Daten!$AE636&gt;=Limits!$I$70)=TRUE,1,0)</f>
        <v>0</v>
      </c>
      <c r="T636" s="193">
        <f ca="1">IF(Daten!$Y636=Sprache!$A$135,1,0)</f>
        <v>0</v>
      </c>
      <c r="U636" s="124" t="str">
        <f ca="1">Sprache!$A$68</f>
        <v>T-65 Поворотный подъемник</v>
      </c>
      <c r="V636" s="194">
        <v>13</v>
      </c>
      <c r="W636" s="193">
        <v>13</v>
      </c>
      <c r="X636" s="187" t="str">
        <f ca="1">Sprache!$A$141</f>
        <v>Alu</v>
      </c>
      <c r="Y636" s="187" t="str">
        <f ca="1">Sprache!$A$136</f>
        <v>nein</v>
      </c>
      <c r="Z636" s="187" t="str">
        <f ca="1">Sprache!$A$79</f>
        <v>Створка</v>
      </c>
      <c r="AA636" s="187">
        <v>400</v>
      </c>
      <c r="AB636" s="124">
        <v>449</v>
      </c>
      <c r="AC636" s="187"/>
      <c r="AD636" s="195">
        <v>0.8</v>
      </c>
      <c r="AE636" s="196">
        <v>2.5</v>
      </c>
      <c r="AF636" s="263" t="str">
        <f>MID(Tabelle2[[#This Row],[bnr full]],1,4)</f>
        <v>F151</v>
      </c>
      <c r="AG636" s="264" t="str">
        <f>MID(Tabelle2[[#This Row],[bnr full]],5,3)</f>
        <v>147</v>
      </c>
      <c r="AH636" s="265" t="str">
        <f>MID(Tabelle2[[#This Row],[bnr full]],8,3)</f>
        <v>798</v>
      </c>
      <c r="AI636" s="264" t="str">
        <f>MID(Tabelle2[[#This Row],[bnr full]],11,3)</f>
        <v>201</v>
      </c>
      <c r="AJ636" s="252" t="str">
        <f>MID(Tabelle2[[#This Row],[bnr full]],11,3)</f>
        <v>201</v>
      </c>
      <c r="AK636" s="197" t="s">
        <v>1668</v>
      </c>
      <c r="AL636" s="124" t="str">
        <f ca="1">Sprache!$A$111</f>
        <v>Комплект (Л + П)</v>
      </c>
      <c r="AM636" s="187" t="s">
        <v>25</v>
      </c>
      <c r="AN636" s="187" t="str">
        <f ca="1">Sprache!$A$130</f>
        <v>Пружина, желтая, двусторонняя</v>
      </c>
      <c r="AO636" s="187" t="s">
        <v>25</v>
      </c>
      <c r="AP636" s="187" t="s">
        <v>25</v>
      </c>
      <c r="AQ636" s="187">
        <f>Limits!$K$9</f>
        <v>200</v>
      </c>
      <c r="AR636" s="124">
        <v>1200</v>
      </c>
      <c r="AS636" s="187"/>
      <c r="AT636" s="124"/>
      <c r="AV636"/>
      <c r="AX636" s="10"/>
      <c r="AY636" s="11"/>
      <c r="AZ636" s="2"/>
      <c r="BC636"/>
    </row>
    <row r="637" spans="1:55" hidden="1" x14ac:dyDescent="0.25">
      <c r="A637" s="12" t="str">
        <f ca="1">IF(F637+G637+H637+I637+J637+D637+E637=3,IF(Tabelle2[[#This Row],[Kappe Weiß]]=Limits!$R$29,1,""),"")</f>
        <v/>
      </c>
      <c r="B637" s="12" t="str">
        <f ca="1">IF(G637+H637+I637+J637+E637+F637=2,IF(Tabelle2[[#This Row],[Kappe Weiß]]=Limits!$R$29,1,""),"")</f>
        <v/>
      </c>
      <c r="C637" s="291">
        <v>1</v>
      </c>
      <c r="D637" s="171">
        <f>IF(Limits!$P$6=TRUE,1,0)</f>
        <v>0</v>
      </c>
      <c r="E637" s="172">
        <f>IF(Daten!$P637+Daten!$Q637+Daten!$S637=3,1,0)</f>
        <v>0</v>
      </c>
      <c r="F637" s="173">
        <f ca="1">IF(AND(Limits!$Q$21=TRUE,Daten!O637=1)=TRUE,1,0)</f>
        <v>0</v>
      </c>
      <c r="G637" s="174">
        <f>IF(AND(Limits!$Q$25=TRUE,Daten!N637=1)=TRUE,1,0)</f>
        <v>0</v>
      </c>
      <c r="H637" s="174">
        <f>IF(AND(Limits!$Q$24=TRUE,Daten!M637=1)=TRUE,1,0)</f>
        <v>0</v>
      </c>
      <c r="I637" s="174">
        <f>IF(AND(Limits!$Q$23=TRUE,Daten!L637=1)=TRUE,1,0)</f>
        <v>0</v>
      </c>
      <c r="J637" s="174">
        <f>IF(AND(Limits!$Q$22=TRUE,Daten!K637=1)=TRUE,1,0)</f>
        <v>0</v>
      </c>
      <c r="K637" s="188">
        <f>IF(Daten!$V637=13,1,0)</f>
        <v>1</v>
      </c>
      <c r="L637" s="189">
        <f>IF(Daten!$V637&lt;&gt;Daten!$W637,1,IF(Daten!$V637=14,1,0))</f>
        <v>0</v>
      </c>
      <c r="M637" s="189">
        <f>IF(Daten!$V637&lt;&gt;Daten!$W637,1,IF(Daten!$V637=16,1,0))</f>
        <v>0</v>
      </c>
      <c r="N637" s="189">
        <f>IF(Daten!$W637=17,1,0)</f>
        <v>0</v>
      </c>
      <c r="O637" s="190">
        <f ca="1">IF(Daten!$X637=Sprache!$A$70,1,0)</f>
        <v>0</v>
      </c>
      <c r="P637" s="191">
        <f>IF(AND(Daten!$AQ637&lt;=KINVARO!$AW$3,Daten!$AR637&gt;=KINVARO!$AW$3)=TRUE,1,0)</f>
        <v>1</v>
      </c>
      <c r="Q637" s="192">
        <f>IF(AND(Daten!$AA637&lt;=KINVARO!$AW$4,Daten!$AB637&gt;=KINVARO!$AW$4)=TRUE,1,0)</f>
        <v>0</v>
      </c>
      <c r="R637" s="192"/>
      <c r="S637" s="192">
        <f>IF(AND(Daten!$AD637&lt;=Limits!$I$70,Daten!$AE637&gt;=Limits!$I$70)=TRUE,1,0)</f>
        <v>0</v>
      </c>
      <c r="T637" s="193">
        <f ca="1">IF(Daten!$Y637=Sprache!$A$135,1,0)</f>
        <v>0</v>
      </c>
      <c r="U637" s="124" t="str">
        <f ca="1">Sprache!$A$68</f>
        <v>T-65 Поворотный подъемник</v>
      </c>
      <c r="V637" s="194">
        <v>13</v>
      </c>
      <c r="W637" s="193">
        <v>13</v>
      </c>
      <c r="X637" s="187" t="str">
        <f ca="1">Sprache!$A$141</f>
        <v>Alu</v>
      </c>
      <c r="Y637" s="187" t="str">
        <f ca="1">Sprache!$A$136</f>
        <v>nein</v>
      </c>
      <c r="Z637" s="187" t="str">
        <f ca="1">Sprache!$A$79</f>
        <v>Створка</v>
      </c>
      <c r="AA637" s="187">
        <v>400</v>
      </c>
      <c r="AB637" s="124">
        <v>449</v>
      </c>
      <c r="AC637" s="187"/>
      <c r="AD637" s="195">
        <v>1.5</v>
      </c>
      <c r="AE637" s="196">
        <v>4.7</v>
      </c>
      <c r="AF637" s="263" t="str">
        <f>MID(Tabelle2[[#This Row],[bnr full]],1,4)</f>
        <v>F151</v>
      </c>
      <c r="AG637" s="264" t="str">
        <f>MID(Tabelle2[[#This Row],[bnr full]],5,3)</f>
        <v>147</v>
      </c>
      <c r="AH637" s="265" t="str">
        <f>MID(Tabelle2[[#This Row],[bnr full]],8,3)</f>
        <v>798</v>
      </c>
      <c r="AI637" s="264" t="str">
        <f>MID(Tabelle2[[#This Row],[bnr full]],11,3)</f>
        <v>201</v>
      </c>
      <c r="AJ637" s="252" t="str">
        <f>MID(Tabelle2[[#This Row],[bnr full]],11,3)</f>
        <v>201</v>
      </c>
      <c r="AK637" s="197" t="s">
        <v>1668</v>
      </c>
      <c r="AL637" s="124" t="str">
        <f ca="1">Sprache!$A$111</f>
        <v>Комплект (Л + П)</v>
      </c>
      <c r="AM637" s="187" t="s">
        <v>25</v>
      </c>
      <c r="AN637" s="187" t="str">
        <f ca="1">Sprache!$A$131</f>
        <v>Пружина, черная, двусторонняя</v>
      </c>
      <c r="AO637" s="187" t="s">
        <v>25</v>
      </c>
      <c r="AP637" s="187" t="s">
        <v>25</v>
      </c>
      <c r="AQ637" s="187">
        <f>Limits!$K$9</f>
        <v>200</v>
      </c>
      <c r="AR637" s="124">
        <v>1200</v>
      </c>
      <c r="AS637" s="187"/>
      <c r="AT637" s="124"/>
      <c r="AV637"/>
      <c r="AX637" s="10"/>
      <c r="AY637" s="11"/>
      <c r="AZ637" s="2"/>
      <c r="BC637"/>
    </row>
    <row r="638" spans="1:55" hidden="1" x14ac:dyDescent="0.25">
      <c r="A638" s="12" t="str">
        <f ca="1">IF(F638+G638+H638+I638+J638+D638+E638=3,IF(Tabelle2[[#This Row],[Kappe Weiß]]=Limits!$R$29,1,""),"")</f>
        <v/>
      </c>
      <c r="B638" s="12" t="str">
        <f ca="1">IF(G638+H638+I638+J638+E638+F638=2,IF(Tabelle2[[#This Row],[Kappe Weiß]]=Limits!$R$29,1,""),"")</f>
        <v/>
      </c>
      <c r="C638" s="291">
        <v>1</v>
      </c>
      <c r="D638" s="171">
        <f>IF(Limits!$P$6=TRUE,1,0)</f>
        <v>0</v>
      </c>
      <c r="E638" s="172">
        <f>IF(Daten!$P638+Daten!$Q638+Daten!$S638=3,1,0)</f>
        <v>0</v>
      </c>
      <c r="F638" s="173">
        <f ca="1">IF(AND(Limits!$Q$21=TRUE,Daten!O638=1)=TRUE,1,0)</f>
        <v>0</v>
      </c>
      <c r="G638" s="174">
        <f>IF(AND(Limits!$Q$25=TRUE,Daten!N638=1)=TRUE,1,0)</f>
        <v>0</v>
      </c>
      <c r="H638" s="174">
        <f>IF(AND(Limits!$Q$24=TRUE,Daten!M638=1)=TRUE,1,0)</f>
        <v>0</v>
      </c>
      <c r="I638" s="174">
        <f>IF(AND(Limits!$Q$23=TRUE,Daten!L638=1)=TRUE,1,0)</f>
        <v>0</v>
      </c>
      <c r="J638" s="174">
        <f>IF(AND(Limits!$Q$22=TRUE,Daten!K638=1)=TRUE,1,0)</f>
        <v>0</v>
      </c>
      <c r="K638" s="188">
        <f>IF(Daten!$V638=13,1,0)</f>
        <v>0</v>
      </c>
      <c r="L638" s="189">
        <f>IF(Daten!$V638&lt;&gt;Daten!$W638,1,IF(Daten!$V638=14,1,0))</f>
        <v>1</v>
      </c>
      <c r="M638" s="189">
        <f>IF(Daten!$V638&lt;&gt;Daten!$W638,1,IF(Daten!$V638=16,1,0))</f>
        <v>0</v>
      </c>
      <c r="N638" s="189">
        <f>IF(Daten!$W638=17,1,0)</f>
        <v>0</v>
      </c>
      <c r="O638" s="190">
        <f ca="1">IF(Daten!$X638=Sprache!$A$70,1,0)</f>
        <v>0</v>
      </c>
      <c r="P638" s="191">
        <f>IF(AND(Daten!$AQ638&lt;=KINVARO!$AW$3,Daten!$AR638&gt;=KINVARO!$AW$3)=TRUE,1,0)</f>
        <v>1</v>
      </c>
      <c r="Q638" s="192">
        <f>IF(AND(Daten!$AA638&lt;=KINVARO!$AW$4,Daten!$AB638&gt;=KINVARO!$AW$4)=TRUE,1,0)</f>
        <v>0</v>
      </c>
      <c r="R638" s="192"/>
      <c r="S638" s="192">
        <f>IF(AND(Daten!$AD638&lt;=Limits!$I$70,Daten!$AE638&gt;=Limits!$I$70)=TRUE,1,0)</f>
        <v>0</v>
      </c>
      <c r="T638" s="193">
        <f ca="1">IF(Daten!$Y638=Sprache!$A$135,1,0)</f>
        <v>0</v>
      </c>
      <c r="U638" s="124" t="str">
        <f ca="1">Sprache!$A$68</f>
        <v>T-65 Поворотный подъемник</v>
      </c>
      <c r="V638" s="194">
        <v>14</v>
      </c>
      <c r="W638" s="193">
        <v>14</v>
      </c>
      <c r="X638" s="187" t="str">
        <f ca="1">Sprache!$A$141</f>
        <v>Alu</v>
      </c>
      <c r="Y638" s="187" t="str">
        <f ca="1">Sprache!$A$136</f>
        <v>nein</v>
      </c>
      <c r="Z638" s="187" t="str">
        <f ca="1">Sprache!$A$79</f>
        <v>Створка</v>
      </c>
      <c r="AA638" s="187">
        <v>400</v>
      </c>
      <c r="AB638" s="124">
        <v>449</v>
      </c>
      <c r="AC638" s="187"/>
      <c r="AD638" s="195">
        <v>0.8</v>
      </c>
      <c r="AE638" s="196">
        <v>2.5</v>
      </c>
      <c r="AF638" s="263" t="str">
        <f>MID(Tabelle2[[#This Row],[bnr full]],1,4)</f>
        <v>F151</v>
      </c>
      <c r="AG638" s="264" t="str">
        <f>MID(Tabelle2[[#This Row],[bnr full]],5,3)</f>
        <v>147</v>
      </c>
      <c r="AH638" s="265" t="str">
        <f>MID(Tabelle2[[#This Row],[bnr full]],8,3)</f>
        <v>799</v>
      </c>
      <c r="AI638" s="264" t="str">
        <f>MID(Tabelle2[[#This Row],[bnr full]],11,3)</f>
        <v>201</v>
      </c>
      <c r="AJ638" s="252" t="str">
        <f>MID(Tabelle2[[#This Row],[bnr full]],11,3)</f>
        <v>201</v>
      </c>
      <c r="AK638" s="197" t="s">
        <v>1669</v>
      </c>
      <c r="AL638" s="124" t="str">
        <f ca="1">Sprache!$A$111</f>
        <v>Комплект (Л + П)</v>
      </c>
      <c r="AM638" s="187" t="s">
        <v>25</v>
      </c>
      <c r="AN638" s="187" t="str">
        <f ca="1">Sprache!$A$130</f>
        <v>Пружина, желтая, двусторонняя</v>
      </c>
      <c r="AO638" s="187" t="s">
        <v>25</v>
      </c>
      <c r="AP638" s="187" t="s">
        <v>25</v>
      </c>
      <c r="AQ638" s="187">
        <f>Limits!$K$9</f>
        <v>200</v>
      </c>
      <c r="AR638" s="124">
        <v>1200</v>
      </c>
      <c r="AS638" s="187"/>
      <c r="AT638" s="124"/>
      <c r="AV638"/>
      <c r="AX638" s="10"/>
      <c r="AY638" s="11"/>
      <c r="AZ638" s="2"/>
      <c r="BC638"/>
    </row>
    <row r="639" spans="1:55" hidden="1" x14ac:dyDescent="0.25">
      <c r="A639" s="12" t="str">
        <f ca="1">IF(F639+G639+H639+I639+J639+D639+E639=3,IF(Tabelle2[[#This Row],[Kappe Weiß]]=Limits!$R$29,1,""),"")</f>
        <v/>
      </c>
      <c r="B639" s="12" t="str">
        <f ca="1">IF(G639+H639+I639+J639+E639+F639=2,IF(Tabelle2[[#This Row],[Kappe Weiß]]=Limits!$R$29,1,""),"")</f>
        <v/>
      </c>
      <c r="C639" s="291">
        <v>1</v>
      </c>
      <c r="D639" s="171">
        <f>IF(Limits!$P$6=TRUE,1,0)</f>
        <v>0</v>
      </c>
      <c r="E639" s="172">
        <f>IF(Daten!$P639+Daten!$Q639+Daten!$S639=3,1,0)</f>
        <v>0</v>
      </c>
      <c r="F639" s="173">
        <f ca="1">IF(AND(Limits!$Q$21=TRUE,Daten!O639=1)=TRUE,1,0)</f>
        <v>0</v>
      </c>
      <c r="G639" s="174">
        <f>IF(AND(Limits!$Q$25=TRUE,Daten!N639=1)=TRUE,1,0)</f>
        <v>0</v>
      </c>
      <c r="H639" s="174">
        <f>IF(AND(Limits!$Q$24=TRUE,Daten!M639=1)=TRUE,1,0)</f>
        <v>0</v>
      </c>
      <c r="I639" s="174">
        <f>IF(AND(Limits!$Q$23=TRUE,Daten!L639=1)=TRUE,1,0)</f>
        <v>0</v>
      </c>
      <c r="J639" s="174">
        <f>IF(AND(Limits!$Q$22=TRUE,Daten!K639=1)=TRUE,1,0)</f>
        <v>0</v>
      </c>
      <c r="K639" s="188">
        <f>IF(Daten!$V639=13,1,0)</f>
        <v>0</v>
      </c>
      <c r="L639" s="189">
        <f>IF(Daten!$V639&lt;&gt;Daten!$W639,1,IF(Daten!$V639=14,1,0))</f>
        <v>1</v>
      </c>
      <c r="M639" s="189">
        <f>IF(Daten!$V639&lt;&gt;Daten!$W639,1,IF(Daten!$V639=16,1,0))</f>
        <v>0</v>
      </c>
      <c r="N639" s="189">
        <f>IF(Daten!$W639=17,1,0)</f>
        <v>0</v>
      </c>
      <c r="O639" s="190">
        <f ca="1">IF(Daten!$X639=Sprache!$A$70,1,0)</f>
        <v>0</v>
      </c>
      <c r="P639" s="191">
        <f>IF(AND(Daten!$AQ639&lt;=KINVARO!$AW$3,Daten!$AR639&gt;=KINVARO!$AW$3)=TRUE,1,0)</f>
        <v>1</v>
      </c>
      <c r="Q639" s="192">
        <f>IF(AND(Daten!$AA639&lt;=KINVARO!$AW$4,Daten!$AB639&gt;=KINVARO!$AW$4)=TRUE,1,0)</f>
        <v>0</v>
      </c>
      <c r="R639" s="192"/>
      <c r="S639" s="192">
        <f>IF(AND(Daten!$AD639&lt;=Limits!$I$70,Daten!$AE639&gt;=Limits!$I$70)=TRUE,1,0)</f>
        <v>0</v>
      </c>
      <c r="T639" s="193">
        <f ca="1">IF(Daten!$Y639=Sprache!$A$135,1,0)</f>
        <v>0</v>
      </c>
      <c r="U639" s="124" t="str">
        <f ca="1">Sprache!$A$68</f>
        <v>T-65 Поворотный подъемник</v>
      </c>
      <c r="V639" s="194">
        <v>14</v>
      </c>
      <c r="W639" s="193">
        <v>14</v>
      </c>
      <c r="X639" s="187" t="str">
        <f ca="1">Sprache!$A$141</f>
        <v>Alu</v>
      </c>
      <c r="Y639" s="187" t="str">
        <f ca="1">Sprache!$A$136</f>
        <v>nein</v>
      </c>
      <c r="Z639" s="187" t="str">
        <f ca="1">Sprache!$A$79</f>
        <v>Створка</v>
      </c>
      <c r="AA639" s="187">
        <v>400</v>
      </c>
      <c r="AB639" s="124">
        <v>449</v>
      </c>
      <c r="AC639" s="187"/>
      <c r="AD639" s="195">
        <v>1.5</v>
      </c>
      <c r="AE639" s="196">
        <v>4.7</v>
      </c>
      <c r="AF639" s="263" t="str">
        <f>MID(Tabelle2[[#This Row],[bnr full]],1,4)</f>
        <v>F151</v>
      </c>
      <c r="AG639" s="264" t="str">
        <f>MID(Tabelle2[[#This Row],[bnr full]],5,3)</f>
        <v>147</v>
      </c>
      <c r="AH639" s="265" t="str">
        <f>MID(Tabelle2[[#This Row],[bnr full]],8,3)</f>
        <v>799</v>
      </c>
      <c r="AI639" s="264" t="str">
        <f>MID(Tabelle2[[#This Row],[bnr full]],11,3)</f>
        <v>201</v>
      </c>
      <c r="AJ639" s="252" t="str">
        <f>MID(Tabelle2[[#This Row],[bnr full]],11,3)</f>
        <v>201</v>
      </c>
      <c r="AK639" s="197" t="s">
        <v>1669</v>
      </c>
      <c r="AL639" s="124" t="str">
        <f ca="1">Sprache!$A$111</f>
        <v>Комплект (Л + П)</v>
      </c>
      <c r="AM639" s="187" t="s">
        <v>25</v>
      </c>
      <c r="AN639" s="187" t="str">
        <f ca="1">Sprache!$A$131</f>
        <v>Пружина, черная, двусторонняя</v>
      </c>
      <c r="AO639" s="187" t="s">
        <v>25</v>
      </c>
      <c r="AP639" s="187" t="s">
        <v>25</v>
      </c>
      <c r="AQ639" s="187">
        <f>Limits!$K$9</f>
        <v>200</v>
      </c>
      <c r="AR639" s="124">
        <v>1200</v>
      </c>
      <c r="AS639" s="187"/>
      <c r="AT639" s="124"/>
      <c r="AV639"/>
      <c r="AX639" s="10"/>
      <c r="AY639" s="11"/>
      <c r="AZ639" s="2"/>
      <c r="BC639"/>
    </row>
    <row r="640" spans="1:55" hidden="1" x14ac:dyDescent="0.25">
      <c r="A640" s="12" t="str">
        <f ca="1">IF(F640+G640+H640+I640+J640+D640+E640=3,IF(Tabelle2[[#This Row],[Kappe Weiß]]=Limits!$R$29,1,""),"")</f>
        <v/>
      </c>
      <c r="B640" s="12" t="str">
        <f ca="1">IF(G640+H640+I640+J640+E640+F640=2,IF(Tabelle2[[#This Row],[Kappe Weiß]]=Limits!$R$29,1,""),"")</f>
        <v/>
      </c>
      <c r="C640" s="291">
        <v>1</v>
      </c>
      <c r="D640" s="171">
        <f>IF(Limits!$P$6=TRUE,1,0)</f>
        <v>0</v>
      </c>
      <c r="E640" s="172">
        <f>IF(Daten!$P640+Daten!$Q640+Daten!$S640=3,1,0)</f>
        <v>0</v>
      </c>
      <c r="F640" s="173">
        <f ca="1">IF(AND(Limits!$Q$21=TRUE,Daten!O640=1)=TRUE,1,0)</f>
        <v>0</v>
      </c>
      <c r="G640" s="174">
        <f>IF(AND(Limits!$Q$25=TRUE,Daten!N640=1)=TRUE,1,0)</f>
        <v>0</v>
      </c>
      <c r="H640" s="174">
        <f>IF(AND(Limits!$Q$24=TRUE,Daten!M640=1)=TRUE,1,0)</f>
        <v>0</v>
      </c>
      <c r="I640" s="174">
        <f>IF(AND(Limits!$Q$23=TRUE,Daten!L640=1)=TRUE,1,0)</f>
        <v>0</v>
      </c>
      <c r="J640" s="174">
        <f>IF(AND(Limits!$Q$22=TRUE,Daten!K640=1)=TRUE,1,0)</f>
        <v>0</v>
      </c>
      <c r="K640" s="188">
        <f>IF(Daten!$V640=13,1,0)</f>
        <v>0</v>
      </c>
      <c r="L640" s="189">
        <f>IF(Daten!$V640&lt;&gt;Daten!$W640,1,IF(Daten!$V640=14,1,0))</f>
        <v>0</v>
      </c>
      <c r="M640" s="189">
        <f>IF(Daten!$V640&lt;&gt;Daten!$W640,1,IF(Daten!$V640=16,1,0))</f>
        <v>1</v>
      </c>
      <c r="N640" s="189">
        <f>IF(Daten!$W640=17,1,0)</f>
        <v>0</v>
      </c>
      <c r="O640" s="190">
        <f ca="1">IF(Daten!$X640=Sprache!$A$70,1,0)</f>
        <v>0</v>
      </c>
      <c r="P640" s="191">
        <f>IF(AND(Daten!$AQ640&lt;=KINVARO!$AW$3,Daten!$AR640&gt;=KINVARO!$AW$3)=TRUE,1,0)</f>
        <v>1</v>
      </c>
      <c r="Q640" s="192">
        <f>IF(AND(Daten!$AA640&lt;=KINVARO!$AW$4,Daten!$AB640&gt;=KINVARO!$AW$4)=TRUE,1,0)</f>
        <v>0</v>
      </c>
      <c r="R640" s="192"/>
      <c r="S640" s="192">
        <f>IF(AND(Daten!$AD640&lt;=Limits!$I$70,Daten!$AE640&gt;=Limits!$I$70)=TRUE,1,0)</f>
        <v>0</v>
      </c>
      <c r="T640" s="193">
        <f ca="1">IF(Daten!$Y640=Sprache!$A$135,1,0)</f>
        <v>0</v>
      </c>
      <c r="U640" s="124" t="str">
        <f ca="1">Sprache!$A$68</f>
        <v>T-65 Поворотный подъемник</v>
      </c>
      <c r="V640" s="194">
        <v>16</v>
      </c>
      <c r="W640" s="193">
        <v>16</v>
      </c>
      <c r="X640" s="187" t="str">
        <f ca="1">Sprache!$A$141</f>
        <v>Alu</v>
      </c>
      <c r="Y640" s="187" t="str">
        <f ca="1">Sprache!$A$136</f>
        <v>nein</v>
      </c>
      <c r="Z640" s="187" t="str">
        <f ca="1">Sprache!$A$79</f>
        <v>Створка</v>
      </c>
      <c r="AA640" s="187">
        <v>400</v>
      </c>
      <c r="AB640" s="124">
        <v>449</v>
      </c>
      <c r="AC640" s="187"/>
      <c r="AD640" s="195">
        <v>0.8</v>
      </c>
      <c r="AE640" s="196">
        <v>2.5</v>
      </c>
      <c r="AF640" s="263" t="str">
        <f>MID(Tabelle2[[#This Row],[bnr full]],1,4)</f>
        <v>F151</v>
      </c>
      <c r="AG640" s="264" t="str">
        <f>MID(Tabelle2[[#This Row],[bnr full]],5,3)</f>
        <v>147</v>
      </c>
      <c r="AH640" s="265" t="str">
        <f>MID(Tabelle2[[#This Row],[bnr full]],8,3)</f>
        <v>800</v>
      </c>
      <c r="AI640" s="264" t="str">
        <f>MID(Tabelle2[[#This Row],[bnr full]],11,3)</f>
        <v>201</v>
      </c>
      <c r="AJ640" s="252" t="str">
        <f>MID(Tabelle2[[#This Row],[bnr full]],11,3)</f>
        <v>201</v>
      </c>
      <c r="AK640" s="197" t="s">
        <v>1670</v>
      </c>
      <c r="AL640" s="124" t="str">
        <f ca="1">Sprache!$A$111</f>
        <v>Комплект (Л + П)</v>
      </c>
      <c r="AM640" s="187" t="s">
        <v>25</v>
      </c>
      <c r="AN640" s="187" t="str">
        <f ca="1">Sprache!$A$130</f>
        <v>Пружина, желтая, двусторонняя</v>
      </c>
      <c r="AO640" s="187" t="s">
        <v>25</v>
      </c>
      <c r="AP640" s="187" t="s">
        <v>25</v>
      </c>
      <c r="AQ640" s="187">
        <f>Limits!$K$9</f>
        <v>200</v>
      </c>
      <c r="AR640" s="124">
        <v>1200</v>
      </c>
      <c r="AS640" s="187"/>
      <c r="AT640" s="124"/>
      <c r="AV640"/>
      <c r="AX640" s="10"/>
      <c r="AY640" s="11"/>
      <c r="AZ640" s="2"/>
      <c r="BC640"/>
    </row>
    <row r="641" spans="1:55" hidden="1" x14ac:dyDescent="0.25">
      <c r="A641" s="12" t="str">
        <f ca="1">IF(F641+G641+H641+I641+J641+D641+E641=3,IF(Tabelle2[[#This Row],[Kappe Weiß]]=Limits!$R$29,1,""),"")</f>
        <v/>
      </c>
      <c r="B641" s="12" t="str">
        <f ca="1">IF(G641+H641+I641+J641+E641+F641=2,IF(Tabelle2[[#This Row],[Kappe Weiß]]=Limits!$R$29,1,""),"")</f>
        <v/>
      </c>
      <c r="C641" s="291">
        <v>1</v>
      </c>
      <c r="D641" s="171">
        <f>IF(Limits!$P$6=TRUE,1,0)</f>
        <v>0</v>
      </c>
      <c r="E641" s="172">
        <f>IF(Daten!$P641+Daten!$Q641+Daten!$S641=3,1,0)</f>
        <v>0</v>
      </c>
      <c r="F641" s="173">
        <f ca="1">IF(AND(Limits!$Q$21=TRUE,Daten!O641=1)=TRUE,1,0)</f>
        <v>0</v>
      </c>
      <c r="G641" s="174">
        <f>IF(AND(Limits!$Q$25=TRUE,Daten!N641=1)=TRUE,1,0)</f>
        <v>0</v>
      </c>
      <c r="H641" s="174">
        <f>IF(AND(Limits!$Q$24=TRUE,Daten!M641=1)=TRUE,1,0)</f>
        <v>0</v>
      </c>
      <c r="I641" s="174">
        <f>IF(AND(Limits!$Q$23=TRUE,Daten!L641=1)=TRUE,1,0)</f>
        <v>0</v>
      </c>
      <c r="J641" s="174">
        <f>IF(AND(Limits!$Q$22=TRUE,Daten!K641=1)=TRUE,1,0)</f>
        <v>0</v>
      </c>
      <c r="K641" s="188">
        <f>IF(Daten!$V641=13,1,0)</f>
        <v>0</v>
      </c>
      <c r="L641" s="189">
        <f>IF(Daten!$V641&lt;&gt;Daten!$W641,1,IF(Daten!$V641=14,1,0))</f>
        <v>0</v>
      </c>
      <c r="M641" s="189">
        <f>IF(Daten!$V641&lt;&gt;Daten!$W641,1,IF(Daten!$V641=16,1,0))</f>
        <v>1</v>
      </c>
      <c r="N641" s="189">
        <f>IF(Daten!$W641=17,1,0)</f>
        <v>0</v>
      </c>
      <c r="O641" s="190">
        <f ca="1">IF(Daten!$X641=Sprache!$A$70,1,0)</f>
        <v>0</v>
      </c>
      <c r="P641" s="191">
        <f>IF(AND(Daten!$AQ641&lt;=KINVARO!$AW$3,Daten!$AR641&gt;=KINVARO!$AW$3)=TRUE,1,0)</f>
        <v>1</v>
      </c>
      <c r="Q641" s="192">
        <f>IF(AND(Daten!$AA641&lt;=KINVARO!$AW$4,Daten!$AB641&gt;=KINVARO!$AW$4)=TRUE,1,0)</f>
        <v>0</v>
      </c>
      <c r="R641" s="192"/>
      <c r="S641" s="192">
        <f>IF(AND(Daten!$AD641&lt;=Limits!$I$70,Daten!$AE641&gt;=Limits!$I$70)=TRUE,1,0)</f>
        <v>0</v>
      </c>
      <c r="T641" s="193">
        <f ca="1">IF(Daten!$Y641=Sprache!$A$135,1,0)</f>
        <v>0</v>
      </c>
      <c r="U641" s="124" t="str">
        <f ca="1">Sprache!$A$68</f>
        <v>T-65 Поворотный подъемник</v>
      </c>
      <c r="V641" s="194">
        <v>16</v>
      </c>
      <c r="W641" s="193">
        <v>16</v>
      </c>
      <c r="X641" s="187" t="str">
        <f ca="1">Sprache!$A$141</f>
        <v>Alu</v>
      </c>
      <c r="Y641" s="187" t="str">
        <f ca="1">Sprache!$A$136</f>
        <v>nein</v>
      </c>
      <c r="Z641" s="187" t="str">
        <f ca="1">Sprache!$A$79</f>
        <v>Створка</v>
      </c>
      <c r="AA641" s="187">
        <v>400</v>
      </c>
      <c r="AB641" s="124">
        <v>449</v>
      </c>
      <c r="AC641" s="187"/>
      <c r="AD641" s="195">
        <v>1.5</v>
      </c>
      <c r="AE641" s="196">
        <v>4.7</v>
      </c>
      <c r="AF641" s="263" t="str">
        <f>MID(Tabelle2[[#This Row],[bnr full]],1,4)</f>
        <v>F151</v>
      </c>
      <c r="AG641" s="264" t="str">
        <f>MID(Tabelle2[[#This Row],[bnr full]],5,3)</f>
        <v>147</v>
      </c>
      <c r="AH641" s="265" t="str">
        <f>MID(Tabelle2[[#This Row],[bnr full]],8,3)</f>
        <v>800</v>
      </c>
      <c r="AI641" s="264" t="str">
        <f>MID(Tabelle2[[#This Row],[bnr full]],11,3)</f>
        <v>201</v>
      </c>
      <c r="AJ641" s="252" t="str">
        <f>MID(Tabelle2[[#This Row],[bnr full]],11,3)</f>
        <v>201</v>
      </c>
      <c r="AK641" s="197" t="s">
        <v>1670</v>
      </c>
      <c r="AL641" s="124" t="str">
        <f ca="1">Sprache!$A$111</f>
        <v>Комплект (Л + П)</v>
      </c>
      <c r="AM641" s="187" t="s">
        <v>25</v>
      </c>
      <c r="AN641" s="187" t="str">
        <f ca="1">Sprache!$A$131</f>
        <v>Пружина, черная, двусторонняя</v>
      </c>
      <c r="AO641" s="187" t="s">
        <v>25</v>
      </c>
      <c r="AP641" s="187" t="s">
        <v>25</v>
      </c>
      <c r="AQ641" s="187">
        <f>Limits!$K$9</f>
        <v>200</v>
      </c>
      <c r="AR641" s="124">
        <v>1200</v>
      </c>
      <c r="AS641" s="187"/>
      <c r="AT641" s="124"/>
      <c r="AV641"/>
      <c r="AX641" s="10"/>
      <c r="AY641" s="11"/>
      <c r="AZ641" s="2"/>
      <c r="BC641"/>
    </row>
    <row r="642" spans="1:55" hidden="1" x14ac:dyDescent="0.25">
      <c r="A642" s="12" t="str">
        <f ca="1">IF(F642+G642+H642+I642+J642+D642+E642=3,IF(Tabelle2[[#This Row],[Kappe Weiß]]=Limits!$R$29,1,""),"")</f>
        <v/>
      </c>
      <c r="B642" s="12" t="str">
        <f ca="1">IF(G642+H642+I642+J642+E642+F642=2,IF(Tabelle2[[#This Row],[Kappe Weiß]]=Limits!$R$29,1,""),"")</f>
        <v/>
      </c>
      <c r="C642" s="291">
        <v>1</v>
      </c>
      <c r="D642" s="171">
        <f>IF(Limits!$P$6=TRUE,1,0)</f>
        <v>0</v>
      </c>
      <c r="E642" s="172">
        <f>IF(Daten!$P642+Daten!$Q642+Daten!$S642=3,1,0)</f>
        <v>0</v>
      </c>
      <c r="F642" s="173">
        <f ca="1">IF(AND(Limits!$Q$21=TRUE,Daten!O642=1)=TRUE,1,0)</f>
        <v>0</v>
      </c>
      <c r="G642" s="174">
        <f>IF(AND(Limits!$Q$25=TRUE,Daten!N642=1)=TRUE,1,0)</f>
        <v>0</v>
      </c>
      <c r="H642" s="174">
        <f>IF(AND(Limits!$Q$24=TRUE,Daten!M642=1)=TRUE,1,0)</f>
        <v>0</v>
      </c>
      <c r="I642" s="174">
        <f>IF(AND(Limits!$Q$23=TRUE,Daten!L642=1)=TRUE,1,0)</f>
        <v>0</v>
      </c>
      <c r="J642" s="174">
        <f>IF(AND(Limits!$Q$22=TRUE,Daten!K642=1)=TRUE,1,0)</f>
        <v>0</v>
      </c>
      <c r="K642" s="188">
        <f>IF(Daten!$V642=13,1,0)</f>
        <v>0</v>
      </c>
      <c r="L642" s="189">
        <f>IF(Daten!$V642&lt;&gt;Daten!$W642,1,IF(Daten!$V642=14,1,0))</f>
        <v>0</v>
      </c>
      <c r="M642" s="189">
        <f>IF(Daten!$V642&lt;&gt;Daten!$W642,1,IF(Daten!$V642=16,1,0))</f>
        <v>0</v>
      </c>
      <c r="N642" s="189">
        <f>IF(Daten!$W642=17,1,0)</f>
        <v>1</v>
      </c>
      <c r="O642" s="190">
        <f ca="1">IF(Daten!$X642=Sprache!$A$70,1,0)</f>
        <v>0</v>
      </c>
      <c r="P642" s="191">
        <f>IF(AND(Daten!$AQ642&lt;=KINVARO!$AW$3,Daten!$AR642&gt;=KINVARO!$AW$3)=TRUE,1,0)</f>
        <v>1</v>
      </c>
      <c r="Q642" s="192">
        <f>IF(AND(Daten!$AA642&lt;=KINVARO!$AW$4,Daten!$AB642&gt;=KINVARO!$AW$4)=TRUE,1,0)</f>
        <v>0</v>
      </c>
      <c r="R642" s="192"/>
      <c r="S642" s="192">
        <f>IF(AND(Daten!$AD642&lt;=Limits!$I$70,Daten!$AE642&gt;=Limits!$I$70)=TRUE,1,0)</f>
        <v>0</v>
      </c>
      <c r="T642" s="193">
        <f ca="1">IF(Daten!$Y642=Sprache!$A$135,1,0)</f>
        <v>0</v>
      </c>
      <c r="U642" s="124" t="str">
        <f ca="1">Sprache!$A$68</f>
        <v>T-65 Поворотный подъемник</v>
      </c>
      <c r="V642" s="194">
        <v>17</v>
      </c>
      <c r="W642" s="193">
        <v>17</v>
      </c>
      <c r="X642" s="187" t="str">
        <f ca="1">Sprache!$A$141</f>
        <v>Alu</v>
      </c>
      <c r="Y642" s="187" t="str">
        <f ca="1">Sprache!$A$136</f>
        <v>nein</v>
      </c>
      <c r="Z642" s="187" t="str">
        <f ca="1">Sprache!$A$79</f>
        <v>Створка</v>
      </c>
      <c r="AA642" s="187">
        <v>400</v>
      </c>
      <c r="AB642" s="124">
        <v>449</v>
      </c>
      <c r="AC642" s="187"/>
      <c r="AD642" s="195">
        <v>0.8</v>
      </c>
      <c r="AE642" s="196">
        <v>2.5</v>
      </c>
      <c r="AF642" s="263" t="str">
        <f>MID(Tabelle2[[#This Row],[bnr full]],1,4)</f>
        <v>F151</v>
      </c>
      <c r="AG642" s="264" t="str">
        <f>MID(Tabelle2[[#This Row],[bnr full]],5,3)</f>
        <v>147</v>
      </c>
      <c r="AH642" s="265" t="str">
        <f>MID(Tabelle2[[#This Row],[bnr full]],8,3)</f>
        <v>801</v>
      </c>
      <c r="AI642" s="264" t="str">
        <f>MID(Tabelle2[[#This Row],[bnr full]],11,3)</f>
        <v>201</v>
      </c>
      <c r="AJ642" s="252" t="str">
        <f>MID(Tabelle2[[#This Row],[bnr full]],11,3)</f>
        <v>201</v>
      </c>
      <c r="AK642" s="197" t="s">
        <v>1671</v>
      </c>
      <c r="AL642" s="124" t="str">
        <f ca="1">Sprache!$A$111</f>
        <v>Комплект (Л + П)</v>
      </c>
      <c r="AM642" s="187" t="s">
        <v>25</v>
      </c>
      <c r="AN642" s="187" t="str">
        <f ca="1">Sprache!$A$130</f>
        <v>Пружина, желтая, двусторонняя</v>
      </c>
      <c r="AO642" s="187" t="s">
        <v>25</v>
      </c>
      <c r="AP642" s="187" t="s">
        <v>25</v>
      </c>
      <c r="AQ642" s="187">
        <f>Limits!$K$9</f>
        <v>200</v>
      </c>
      <c r="AR642" s="124">
        <v>1200</v>
      </c>
      <c r="AS642" s="187"/>
      <c r="AT642" s="124"/>
      <c r="AV642"/>
      <c r="AX642" s="10"/>
      <c r="AY642" s="11"/>
      <c r="AZ642" s="2"/>
      <c r="BC642"/>
    </row>
    <row r="643" spans="1:55" hidden="1" x14ac:dyDescent="0.25">
      <c r="A643" s="12" t="str">
        <f ca="1">IF(F643+G643+H643+I643+J643+D643+E643=3,IF(Tabelle2[[#This Row],[Kappe Weiß]]=Limits!$R$29,1,""),"")</f>
        <v/>
      </c>
      <c r="B643" s="12" t="str">
        <f ca="1">IF(G643+H643+I643+J643+E643+F643=2,IF(Tabelle2[[#This Row],[Kappe Weiß]]=Limits!$R$29,1,""),"")</f>
        <v/>
      </c>
      <c r="C643" s="291">
        <v>1</v>
      </c>
      <c r="D643" s="171">
        <f>IF(Limits!$P$6=TRUE,1,0)</f>
        <v>0</v>
      </c>
      <c r="E643" s="172">
        <f>IF(Daten!$P643+Daten!$Q643+Daten!$S643=3,1,0)</f>
        <v>0</v>
      </c>
      <c r="F643" s="173">
        <f ca="1">IF(AND(Limits!$Q$21=TRUE,Daten!O643=1)=TRUE,1,0)</f>
        <v>0</v>
      </c>
      <c r="G643" s="174">
        <f>IF(AND(Limits!$Q$25=TRUE,Daten!N643=1)=TRUE,1,0)</f>
        <v>0</v>
      </c>
      <c r="H643" s="174">
        <f>IF(AND(Limits!$Q$24=TRUE,Daten!M643=1)=TRUE,1,0)</f>
        <v>0</v>
      </c>
      <c r="I643" s="174">
        <f>IF(AND(Limits!$Q$23=TRUE,Daten!L643=1)=TRUE,1,0)</f>
        <v>0</v>
      </c>
      <c r="J643" s="174">
        <f>IF(AND(Limits!$Q$22=TRUE,Daten!K643=1)=TRUE,1,0)</f>
        <v>0</v>
      </c>
      <c r="K643" s="188">
        <f>IF(Daten!$V643=13,1,0)</f>
        <v>0</v>
      </c>
      <c r="L643" s="189">
        <f>IF(Daten!$V643&lt;&gt;Daten!$W643,1,IF(Daten!$V643=14,1,0))</f>
        <v>0</v>
      </c>
      <c r="M643" s="189">
        <f>IF(Daten!$V643&lt;&gt;Daten!$W643,1,IF(Daten!$V643=16,1,0))</f>
        <v>0</v>
      </c>
      <c r="N643" s="189">
        <f>IF(Daten!$W643=17,1,0)</f>
        <v>1</v>
      </c>
      <c r="O643" s="190">
        <f ca="1">IF(Daten!$X643=Sprache!$A$70,1,0)</f>
        <v>0</v>
      </c>
      <c r="P643" s="191">
        <f>IF(AND(Daten!$AQ643&lt;=KINVARO!$AW$3,Daten!$AR643&gt;=KINVARO!$AW$3)=TRUE,1,0)</f>
        <v>1</v>
      </c>
      <c r="Q643" s="192">
        <f>IF(AND(Daten!$AA643&lt;=KINVARO!$AW$4,Daten!$AB643&gt;=KINVARO!$AW$4)=TRUE,1,0)</f>
        <v>0</v>
      </c>
      <c r="R643" s="192"/>
      <c r="S643" s="192">
        <f>IF(AND(Daten!$AD643&lt;=Limits!$I$70,Daten!$AE643&gt;=Limits!$I$70)=TRUE,1,0)</f>
        <v>0</v>
      </c>
      <c r="T643" s="193">
        <f ca="1">IF(Daten!$Y643=Sprache!$A$135,1,0)</f>
        <v>0</v>
      </c>
      <c r="U643" s="124" t="str">
        <f ca="1">Sprache!$A$68</f>
        <v>T-65 Поворотный подъемник</v>
      </c>
      <c r="V643" s="194">
        <v>17</v>
      </c>
      <c r="W643" s="193">
        <v>17</v>
      </c>
      <c r="X643" s="187" t="str">
        <f ca="1">Sprache!$A$141</f>
        <v>Alu</v>
      </c>
      <c r="Y643" s="187" t="str">
        <f ca="1">Sprache!$A$136</f>
        <v>nein</v>
      </c>
      <c r="Z643" s="187" t="str">
        <f ca="1">Sprache!$A$79</f>
        <v>Створка</v>
      </c>
      <c r="AA643" s="187">
        <v>400</v>
      </c>
      <c r="AB643" s="124">
        <v>449</v>
      </c>
      <c r="AC643" s="187"/>
      <c r="AD643" s="195">
        <v>1.5</v>
      </c>
      <c r="AE643" s="196">
        <v>4.7</v>
      </c>
      <c r="AF643" s="263" t="str">
        <f>MID(Tabelle2[[#This Row],[bnr full]],1,4)</f>
        <v>F151</v>
      </c>
      <c r="AG643" s="264" t="str">
        <f>MID(Tabelle2[[#This Row],[bnr full]],5,3)</f>
        <v>147</v>
      </c>
      <c r="AH643" s="265" t="str">
        <f>MID(Tabelle2[[#This Row],[bnr full]],8,3)</f>
        <v>801</v>
      </c>
      <c r="AI643" s="264" t="str">
        <f>MID(Tabelle2[[#This Row],[bnr full]],11,3)</f>
        <v>201</v>
      </c>
      <c r="AJ643" s="252" t="str">
        <f>MID(Tabelle2[[#This Row],[bnr full]],11,3)</f>
        <v>201</v>
      </c>
      <c r="AK643" s="197" t="s">
        <v>1671</v>
      </c>
      <c r="AL643" s="124" t="str">
        <f ca="1">Sprache!$A$111</f>
        <v>Комплект (Л + П)</v>
      </c>
      <c r="AM643" s="187" t="s">
        <v>25</v>
      </c>
      <c r="AN643" s="187" t="str">
        <f ca="1">Sprache!$A$131</f>
        <v>Пружина, черная, двусторонняя</v>
      </c>
      <c r="AO643" s="187" t="s">
        <v>25</v>
      </c>
      <c r="AP643" s="187" t="s">
        <v>25</v>
      </c>
      <c r="AQ643" s="187">
        <f>Limits!$K$9</f>
        <v>200</v>
      </c>
      <c r="AR643" s="124">
        <v>1200</v>
      </c>
      <c r="AS643" s="187"/>
      <c r="AT643" s="124"/>
      <c r="AV643"/>
      <c r="AX643" s="10"/>
      <c r="AY643" s="11"/>
      <c r="AZ643" s="2"/>
      <c r="BC643"/>
    </row>
    <row r="644" spans="1:55" hidden="1" x14ac:dyDescent="0.25">
      <c r="A644" s="12" t="str">
        <f ca="1">IF(F644+G644+H644+I644+J644+D644+E644=3,IF(Tabelle2[[#This Row],[Kappe Weiß]]=Limits!$R$29,1,""),"")</f>
        <v/>
      </c>
      <c r="B644" s="12" t="str">
        <f ca="1">IF(G644+H644+I644+J644+E644+F644=2,IF(Tabelle2[[#This Row],[Kappe Weiß]]=Limits!$R$29,1,""),"")</f>
        <v/>
      </c>
      <c r="C644" s="292">
        <v>1</v>
      </c>
      <c r="D644" s="171">
        <f>IF(Limits!$P$6=TRUE,1,0)</f>
        <v>0</v>
      </c>
      <c r="E644" s="172">
        <f>IF(Daten!$P644+Daten!$Q644+Daten!$S644=3,1,0)</f>
        <v>0</v>
      </c>
      <c r="F644" s="173">
        <f ca="1">IF(AND(Limits!$Q$21=TRUE,Daten!O644=1)=TRUE,1,0)</f>
        <v>1</v>
      </c>
      <c r="G644" s="174">
        <f ca="1">IF(AND(Limits!$Q$25=TRUE,Daten!N644=1)=TRUE,1,0)</f>
        <v>0</v>
      </c>
      <c r="H644" s="174">
        <f ca="1">IF(AND(Limits!$Q$24=TRUE,Daten!M644=1)=TRUE,1,0)</f>
        <v>0</v>
      </c>
      <c r="I644" s="174">
        <f ca="1">IF(AND(Limits!$Q$23=TRUE,Daten!L644=1)=TRUE,1,0)</f>
        <v>0</v>
      </c>
      <c r="J644" s="174">
        <f ca="1">IF(AND(Limits!$Q$22=TRUE,Daten!K644=1)=TRUE,1,0)</f>
        <v>0</v>
      </c>
      <c r="K644" s="188">
        <f ca="1">IF(Daten!$V644=13,1,0)</f>
        <v>0</v>
      </c>
      <c r="L644" s="189">
        <f ca="1">IF(Daten!$V644&lt;&gt;Daten!$W644,1,IF(Daten!$V644=14,1,0))</f>
        <v>0</v>
      </c>
      <c r="M644" s="189">
        <f ca="1">IF(Daten!$V644&lt;&gt;Daten!$W644,1,IF(Daten!$V644=16,1,0))</f>
        <v>0</v>
      </c>
      <c r="N644" s="189">
        <f ca="1">IF(Daten!$W644=17,1,0)</f>
        <v>0</v>
      </c>
      <c r="O644" s="190">
        <f ca="1">IF(Daten!$X644=Sprache!$A$70,1,0)</f>
        <v>1</v>
      </c>
      <c r="P644" s="198">
        <f>IF(AND(Daten!$AQ644&lt;=KINVARO!$AW$3,Daten!$AR644&gt;=KINVARO!$AW$3)=TRUE,1,0)</f>
        <v>1</v>
      </c>
      <c r="Q644" s="199">
        <f>IF(AND(Daten!$AA644&lt;=KINVARO!$AW$4,Daten!$AB644&gt;=KINVARO!$AW$4)=TRUE,1,0)</f>
        <v>0</v>
      </c>
      <c r="R644" s="199"/>
      <c r="S644" s="199">
        <f>IF(AND(Daten!$AD644&lt;=Limits!$I$70,Daten!$AE644&gt;=Limits!$I$70)=TRUE,1,0)</f>
        <v>0</v>
      </c>
      <c r="T644" s="200">
        <f ca="1">IF(Daten!$Y644=Sprache!$A$135,1,0)</f>
        <v>0</v>
      </c>
      <c r="U644" s="201" t="str">
        <f ca="1">Sprache!$A$68</f>
        <v>T-65 Поворотный подъемник</v>
      </c>
      <c r="V644" s="202" t="str">
        <f ca="1">Sprache!$A$74</f>
        <v>var</v>
      </c>
      <c r="W644" s="200" t="str">
        <f ca="1">Sprache!$A$74</f>
        <v>var</v>
      </c>
      <c r="X644" s="203" t="str">
        <f ca="1">Sprache!$A$70</f>
        <v>соединение с древесиной</v>
      </c>
      <c r="Y644" s="187" t="str">
        <f ca="1">Sprache!$A$136</f>
        <v>nein</v>
      </c>
      <c r="Z644" s="203" t="str">
        <f ca="1">Sprache!$A$79</f>
        <v>Створка</v>
      </c>
      <c r="AA644" s="203">
        <v>450</v>
      </c>
      <c r="AB644" s="201">
        <v>499</v>
      </c>
      <c r="AC644" s="203"/>
      <c r="AD644" s="204">
        <v>0.7</v>
      </c>
      <c r="AE644" s="205">
        <v>2.2000000000000002</v>
      </c>
      <c r="AF644" s="266" t="str">
        <f>MID(Tabelle2[[#This Row],[bnr full]],1,4)</f>
        <v>F151</v>
      </c>
      <c r="AG644" s="267" t="str">
        <f>MID(Tabelle2[[#This Row],[bnr full]],5,3)</f>
        <v>147</v>
      </c>
      <c r="AH644" s="268" t="str">
        <f>MID(Tabelle2[[#This Row],[bnr full]],8,3)</f>
        <v>797</v>
      </c>
      <c r="AI644" s="267" t="str">
        <f>MID(Tabelle2[[#This Row],[bnr full]],11,3)</f>
        <v>201</v>
      </c>
      <c r="AJ644" s="253" t="str">
        <f>MID(Tabelle2[[#This Row],[bnr full]],11,3)</f>
        <v>201</v>
      </c>
      <c r="AK644" s="197" t="s">
        <v>1667</v>
      </c>
      <c r="AL644" s="201" t="str">
        <f ca="1">Sprache!$A$111</f>
        <v>Комплект (Л + П)</v>
      </c>
      <c r="AM644" s="203" t="s">
        <v>25</v>
      </c>
      <c r="AN644" s="203" t="str">
        <f ca="1">Sprache!$A$130</f>
        <v>Пружина, желтая, двусторонняя</v>
      </c>
      <c r="AO644" s="187" t="s">
        <v>25</v>
      </c>
      <c r="AP644" s="187" t="s">
        <v>25</v>
      </c>
      <c r="AQ644" s="203">
        <f>Limits!$K$9</f>
        <v>200</v>
      </c>
      <c r="AR644" s="201">
        <v>1200</v>
      </c>
      <c r="AS644" s="187"/>
      <c r="AT644" s="124"/>
      <c r="AV644"/>
      <c r="AX644" s="10"/>
      <c r="AY644" s="11"/>
      <c r="AZ644" s="2"/>
      <c r="BC644"/>
    </row>
    <row r="645" spans="1:55" hidden="1" x14ac:dyDescent="0.25">
      <c r="A645" s="12" t="str">
        <f ca="1">IF(F645+G645+H645+I645+J645+D645+E645=3,IF(Tabelle2[[#This Row],[Kappe Weiß]]=Limits!$R$29,1,""),"")</f>
        <v/>
      </c>
      <c r="B645" s="12" t="str">
        <f ca="1">IF(G645+H645+I645+J645+E645+F645=2,IF(Tabelle2[[#This Row],[Kappe Weiß]]=Limits!$R$29,1,""),"")</f>
        <v/>
      </c>
      <c r="C645" s="291">
        <v>1</v>
      </c>
      <c r="D645" s="171">
        <f>IF(Limits!$P$6=TRUE,1,0)</f>
        <v>0</v>
      </c>
      <c r="E645" s="172">
        <f>IF(Daten!$P645+Daten!$Q645+Daten!$S645=3,1,0)</f>
        <v>0</v>
      </c>
      <c r="F645" s="173">
        <f ca="1">IF(AND(Limits!$Q$21=TRUE,Daten!O645=1)=TRUE,1,0)</f>
        <v>1</v>
      </c>
      <c r="G645" s="174">
        <f ca="1">IF(AND(Limits!$Q$25=TRUE,Daten!N645=1)=TRUE,1,0)</f>
        <v>0</v>
      </c>
      <c r="H645" s="174">
        <f ca="1">IF(AND(Limits!$Q$24=TRUE,Daten!M645=1)=TRUE,1,0)</f>
        <v>0</v>
      </c>
      <c r="I645" s="174">
        <f ca="1">IF(AND(Limits!$Q$23=TRUE,Daten!L645=1)=TRUE,1,0)</f>
        <v>0</v>
      </c>
      <c r="J645" s="174">
        <f ca="1">IF(AND(Limits!$Q$22=TRUE,Daten!K645=1)=TRUE,1,0)</f>
        <v>0</v>
      </c>
      <c r="K645" s="188">
        <f ca="1">IF(Daten!$V645=13,1,0)</f>
        <v>0</v>
      </c>
      <c r="L645" s="189">
        <f ca="1">IF(Daten!$V645&lt;&gt;Daten!$W645,1,IF(Daten!$V645=14,1,0))</f>
        <v>0</v>
      </c>
      <c r="M645" s="189">
        <f ca="1">IF(Daten!$V645&lt;&gt;Daten!$W645,1,IF(Daten!$V645=16,1,0))</f>
        <v>0</v>
      </c>
      <c r="N645" s="189">
        <f ca="1">IF(Daten!$W645=17,1,0)</f>
        <v>0</v>
      </c>
      <c r="O645" s="190">
        <f ca="1">IF(Daten!$X645=Sprache!$A$70,1,0)</f>
        <v>1</v>
      </c>
      <c r="P645" s="191">
        <f>IF(AND(Daten!$AQ645&lt;=KINVARO!$AW$3,Daten!$AR645&gt;=KINVARO!$AW$3)=TRUE,1,0)</f>
        <v>1</v>
      </c>
      <c r="Q645" s="192">
        <f>IF(AND(Daten!$AA645&lt;=KINVARO!$AW$4,Daten!$AB645&gt;=KINVARO!$AW$4)=TRUE,1,0)</f>
        <v>0</v>
      </c>
      <c r="R645" s="192"/>
      <c r="S645" s="192">
        <f>IF(AND(Daten!$AD645&lt;=Limits!$I$70,Daten!$AE645&gt;=Limits!$I$70)=TRUE,1,0)</f>
        <v>0</v>
      </c>
      <c r="T645" s="193">
        <f ca="1">IF(Daten!$Y645=Sprache!$A$135,1,0)</f>
        <v>0</v>
      </c>
      <c r="U645" s="124" t="str">
        <f ca="1">Sprache!$A$68</f>
        <v>T-65 Поворотный подъемник</v>
      </c>
      <c r="V645" s="194" t="str">
        <f ca="1">Sprache!$A$74</f>
        <v>var</v>
      </c>
      <c r="W645" s="193" t="str">
        <f ca="1">Sprache!$A$74</f>
        <v>var</v>
      </c>
      <c r="X645" s="187" t="str">
        <f ca="1">Sprache!$A$70</f>
        <v>соединение с древесиной</v>
      </c>
      <c r="Y645" s="187" t="str">
        <f ca="1">Sprache!$A$136</f>
        <v>nein</v>
      </c>
      <c r="Z645" s="187" t="str">
        <f ca="1">Sprache!$A$79</f>
        <v>Створка</v>
      </c>
      <c r="AA645" s="187">
        <v>450</v>
      </c>
      <c r="AB645" s="124">
        <v>499</v>
      </c>
      <c r="AC645" s="187"/>
      <c r="AD645" s="195">
        <v>1.3</v>
      </c>
      <c r="AE645" s="196">
        <v>4.2</v>
      </c>
      <c r="AF645" s="263" t="str">
        <f>MID(Tabelle2[[#This Row],[bnr full]],1,4)</f>
        <v>F151</v>
      </c>
      <c r="AG645" s="264" t="str">
        <f>MID(Tabelle2[[#This Row],[bnr full]],5,3)</f>
        <v>147</v>
      </c>
      <c r="AH645" s="265" t="str">
        <f>MID(Tabelle2[[#This Row],[bnr full]],8,3)</f>
        <v>797</v>
      </c>
      <c r="AI645" s="264" t="str">
        <f>MID(Tabelle2[[#This Row],[bnr full]],11,3)</f>
        <v>201</v>
      </c>
      <c r="AJ645" s="252" t="str">
        <f>MID(Tabelle2[[#This Row],[bnr full]],11,3)</f>
        <v>201</v>
      </c>
      <c r="AK645" s="197" t="s">
        <v>1667</v>
      </c>
      <c r="AL645" s="124" t="str">
        <f ca="1">Sprache!$A$111</f>
        <v>Комплект (Л + П)</v>
      </c>
      <c r="AM645" s="187" t="s">
        <v>25</v>
      </c>
      <c r="AN645" s="187" t="str">
        <f ca="1">Sprache!$A$131</f>
        <v>Пружина, черная, двусторонняя</v>
      </c>
      <c r="AO645" s="187" t="s">
        <v>25</v>
      </c>
      <c r="AP645" s="187" t="s">
        <v>25</v>
      </c>
      <c r="AQ645" s="187">
        <f>Limits!$K$9</f>
        <v>200</v>
      </c>
      <c r="AR645" s="124">
        <v>1200</v>
      </c>
      <c r="AS645" s="187"/>
      <c r="AT645" s="124"/>
      <c r="AV645"/>
      <c r="AX645" s="10"/>
      <c r="AY645" s="11"/>
      <c r="AZ645" s="2"/>
      <c r="BC645"/>
    </row>
    <row r="646" spans="1:55" hidden="1" x14ac:dyDescent="0.25">
      <c r="A646" s="12" t="str">
        <f ca="1">IF(F646+G646+H646+I646+J646+D646+E646=3,IF(Tabelle2[[#This Row],[Kappe Weiß]]=Limits!$R$29,1,""),"")</f>
        <v/>
      </c>
      <c r="B646" s="12" t="str">
        <f ca="1">IF(G646+H646+I646+J646+E646+F646=2,IF(Tabelle2[[#This Row],[Kappe Weiß]]=Limits!$R$29,1,""),"")</f>
        <v/>
      </c>
      <c r="C646" s="291">
        <v>1</v>
      </c>
      <c r="D646" s="171">
        <f>IF(Limits!$P$6=TRUE,1,0)</f>
        <v>0</v>
      </c>
      <c r="E646" s="172">
        <f>IF(Daten!$P646+Daten!$Q646+Daten!$S646=3,1,0)</f>
        <v>0</v>
      </c>
      <c r="F646" s="173">
        <f ca="1">IF(AND(Limits!$Q$21=TRUE,Daten!O646=1)=TRUE,1,0)</f>
        <v>0</v>
      </c>
      <c r="G646" s="174">
        <f>IF(AND(Limits!$Q$25=TRUE,Daten!N646=1)=TRUE,1,0)</f>
        <v>0</v>
      </c>
      <c r="H646" s="174">
        <f>IF(AND(Limits!$Q$24=TRUE,Daten!M646=1)=TRUE,1,0)</f>
        <v>0</v>
      </c>
      <c r="I646" s="174">
        <f>IF(AND(Limits!$Q$23=TRUE,Daten!L646=1)=TRUE,1,0)</f>
        <v>0</v>
      </c>
      <c r="J646" s="174">
        <f>IF(AND(Limits!$Q$22=TRUE,Daten!K646=1)=TRUE,1,0)</f>
        <v>0</v>
      </c>
      <c r="K646" s="188">
        <f>IF(Daten!$V646=13,1,0)</f>
        <v>1</v>
      </c>
      <c r="L646" s="189">
        <f>IF(Daten!$V646&lt;&gt;Daten!$W646,1,IF(Daten!$V646=14,1,0))</f>
        <v>0</v>
      </c>
      <c r="M646" s="189">
        <f>IF(Daten!$V646&lt;&gt;Daten!$W646,1,IF(Daten!$V646=16,1,0))</f>
        <v>0</v>
      </c>
      <c r="N646" s="189">
        <f>IF(Daten!$W646=17,1,0)</f>
        <v>0</v>
      </c>
      <c r="O646" s="190">
        <f ca="1">IF(Daten!$X646=Sprache!$A$70,1,0)</f>
        <v>0</v>
      </c>
      <c r="P646" s="191">
        <f>IF(AND(Daten!$AQ646&lt;=KINVARO!$AW$3,Daten!$AR646&gt;=KINVARO!$AW$3)=TRUE,1,0)</f>
        <v>1</v>
      </c>
      <c r="Q646" s="192">
        <f>IF(AND(Daten!$AA646&lt;=KINVARO!$AW$4,Daten!$AB646&gt;=KINVARO!$AW$4)=TRUE,1,0)</f>
        <v>0</v>
      </c>
      <c r="R646" s="192"/>
      <c r="S646" s="192">
        <f>IF(AND(Daten!$AD646&lt;=Limits!$I$70,Daten!$AE646&gt;=Limits!$I$70)=TRUE,1,0)</f>
        <v>0</v>
      </c>
      <c r="T646" s="193">
        <f ca="1">IF(Daten!$Y646=Sprache!$A$135,1,0)</f>
        <v>0</v>
      </c>
      <c r="U646" s="124" t="str">
        <f ca="1">Sprache!$A$68</f>
        <v>T-65 Поворотный подъемник</v>
      </c>
      <c r="V646" s="194">
        <v>13</v>
      </c>
      <c r="W646" s="193">
        <v>13</v>
      </c>
      <c r="X646" s="187" t="str">
        <f ca="1">Sprache!$A$141</f>
        <v>Alu</v>
      </c>
      <c r="Y646" s="187" t="str">
        <f ca="1">Sprache!$A$136</f>
        <v>nein</v>
      </c>
      <c r="Z646" s="187" t="str">
        <f ca="1">Sprache!$A$79</f>
        <v>Створка</v>
      </c>
      <c r="AA646" s="187">
        <v>450</v>
      </c>
      <c r="AB646" s="124">
        <v>499</v>
      </c>
      <c r="AC646" s="187"/>
      <c r="AD646" s="195">
        <v>0.7</v>
      </c>
      <c r="AE646" s="196">
        <v>2.2000000000000002</v>
      </c>
      <c r="AF646" s="263" t="str">
        <f>MID(Tabelle2[[#This Row],[bnr full]],1,4)</f>
        <v>F151</v>
      </c>
      <c r="AG646" s="264" t="str">
        <f>MID(Tabelle2[[#This Row],[bnr full]],5,3)</f>
        <v>147</v>
      </c>
      <c r="AH646" s="265" t="str">
        <f>MID(Tabelle2[[#This Row],[bnr full]],8,3)</f>
        <v>798</v>
      </c>
      <c r="AI646" s="264" t="str">
        <f>MID(Tabelle2[[#This Row],[bnr full]],11,3)</f>
        <v>201</v>
      </c>
      <c r="AJ646" s="252" t="str">
        <f>MID(Tabelle2[[#This Row],[bnr full]],11,3)</f>
        <v>201</v>
      </c>
      <c r="AK646" s="197" t="s">
        <v>1668</v>
      </c>
      <c r="AL646" s="124" t="str">
        <f ca="1">Sprache!$A$111</f>
        <v>Комплект (Л + П)</v>
      </c>
      <c r="AM646" s="187" t="s">
        <v>25</v>
      </c>
      <c r="AN646" s="187" t="str">
        <f ca="1">Sprache!$A$130</f>
        <v>Пружина, желтая, двусторонняя</v>
      </c>
      <c r="AO646" s="187" t="s">
        <v>25</v>
      </c>
      <c r="AP646" s="187" t="s">
        <v>25</v>
      </c>
      <c r="AQ646" s="187">
        <f>Limits!$K$9</f>
        <v>200</v>
      </c>
      <c r="AR646" s="124">
        <v>1200</v>
      </c>
      <c r="AS646" s="187"/>
      <c r="AT646" s="124"/>
      <c r="AV646"/>
      <c r="AX646" s="10"/>
      <c r="AY646" s="11"/>
      <c r="AZ646" s="2"/>
      <c r="BC646"/>
    </row>
    <row r="647" spans="1:55" hidden="1" x14ac:dyDescent="0.25">
      <c r="A647" s="12" t="str">
        <f ca="1">IF(F647+G647+H647+I647+J647+D647+E647=3,IF(Tabelle2[[#This Row],[Kappe Weiß]]=Limits!$R$29,1,""),"")</f>
        <v/>
      </c>
      <c r="B647" s="12" t="str">
        <f ca="1">IF(G647+H647+I647+J647+E647+F647=2,IF(Tabelle2[[#This Row],[Kappe Weiß]]=Limits!$R$29,1,""),"")</f>
        <v/>
      </c>
      <c r="C647" s="291">
        <v>1</v>
      </c>
      <c r="D647" s="171">
        <f>IF(Limits!$P$6=TRUE,1,0)</f>
        <v>0</v>
      </c>
      <c r="E647" s="172">
        <f>IF(Daten!$P647+Daten!$Q647+Daten!$S647=3,1,0)</f>
        <v>0</v>
      </c>
      <c r="F647" s="173">
        <f ca="1">IF(AND(Limits!$Q$21=TRUE,Daten!O647=1)=TRUE,1,0)</f>
        <v>0</v>
      </c>
      <c r="G647" s="174">
        <f>IF(AND(Limits!$Q$25=TRUE,Daten!N647=1)=TRUE,1,0)</f>
        <v>0</v>
      </c>
      <c r="H647" s="174">
        <f>IF(AND(Limits!$Q$24=TRUE,Daten!M647=1)=TRUE,1,0)</f>
        <v>0</v>
      </c>
      <c r="I647" s="174">
        <f>IF(AND(Limits!$Q$23=TRUE,Daten!L647=1)=TRUE,1,0)</f>
        <v>0</v>
      </c>
      <c r="J647" s="174">
        <f>IF(AND(Limits!$Q$22=TRUE,Daten!K647=1)=TRUE,1,0)</f>
        <v>0</v>
      </c>
      <c r="K647" s="188">
        <f>IF(Daten!$V647=13,1,0)</f>
        <v>1</v>
      </c>
      <c r="L647" s="189">
        <f>IF(Daten!$V647&lt;&gt;Daten!$W647,1,IF(Daten!$V647=14,1,0))</f>
        <v>0</v>
      </c>
      <c r="M647" s="189">
        <f>IF(Daten!$V647&lt;&gt;Daten!$W647,1,IF(Daten!$V647=16,1,0))</f>
        <v>0</v>
      </c>
      <c r="N647" s="189">
        <f>IF(Daten!$W647=17,1,0)</f>
        <v>0</v>
      </c>
      <c r="O647" s="190">
        <f ca="1">IF(Daten!$X647=Sprache!$A$70,1,0)</f>
        <v>0</v>
      </c>
      <c r="P647" s="191">
        <f>IF(AND(Daten!$AQ647&lt;=KINVARO!$AW$3,Daten!$AR647&gt;=KINVARO!$AW$3)=TRUE,1,0)</f>
        <v>1</v>
      </c>
      <c r="Q647" s="192">
        <f>IF(AND(Daten!$AA647&lt;=KINVARO!$AW$4,Daten!$AB647&gt;=KINVARO!$AW$4)=TRUE,1,0)</f>
        <v>0</v>
      </c>
      <c r="R647" s="192"/>
      <c r="S647" s="192">
        <f>IF(AND(Daten!$AD647&lt;=Limits!$I$70,Daten!$AE647&gt;=Limits!$I$70)=TRUE,1,0)</f>
        <v>0</v>
      </c>
      <c r="T647" s="193">
        <f ca="1">IF(Daten!$Y647=Sprache!$A$135,1,0)</f>
        <v>0</v>
      </c>
      <c r="U647" s="124" t="str">
        <f ca="1">Sprache!$A$68</f>
        <v>T-65 Поворотный подъемник</v>
      </c>
      <c r="V647" s="194">
        <v>13</v>
      </c>
      <c r="W647" s="193">
        <v>13</v>
      </c>
      <c r="X647" s="187" t="str">
        <f ca="1">Sprache!$A$141</f>
        <v>Alu</v>
      </c>
      <c r="Y647" s="187" t="str">
        <f ca="1">Sprache!$A$136</f>
        <v>nein</v>
      </c>
      <c r="Z647" s="187" t="str">
        <f ca="1">Sprache!$A$79</f>
        <v>Створка</v>
      </c>
      <c r="AA647" s="187">
        <v>450</v>
      </c>
      <c r="AB647" s="124">
        <v>499</v>
      </c>
      <c r="AC647" s="187"/>
      <c r="AD647" s="195">
        <v>1.3</v>
      </c>
      <c r="AE647" s="196">
        <v>4.2</v>
      </c>
      <c r="AF647" s="263" t="str">
        <f>MID(Tabelle2[[#This Row],[bnr full]],1,4)</f>
        <v>F151</v>
      </c>
      <c r="AG647" s="264" t="str">
        <f>MID(Tabelle2[[#This Row],[bnr full]],5,3)</f>
        <v>147</v>
      </c>
      <c r="AH647" s="265" t="str">
        <f>MID(Tabelle2[[#This Row],[bnr full]],8,3)</f>
        <v>798</v>
      </c>
      <c r="AI647" s="264" t="str">
        <f>MID(Tabelle2[[#This Row],[bnr full]],11,3)</f>
        <v>201</v>
      </c>
      <c r="AJ647" s="252" t="str">
        <f>MID(Tabelle2[[#This Row],[bnr full]],11,3)</f>
        <v>201</v>
      </c>
      <c r="AK647" s="197" t="s">
        <v>1668</v>
      </c>
      <c r="AL647" s="124" t="str">
        <f ca="1">Sprache!$A$111</f>
        <v>Комплект (Л + П)</v>
      </c>
      <c r="AM647" s="187" t="s">
        <v>25</v>
      </c>
      <c r="AN647" s="187" t="str">
        <f ca="1">Sprache!$A$131</f>
        <v>Пружина, черная, двусторонняя</v>
      </c>
      <c r="AO647" s="187" t="s">
        <v>25</v>
      </c>
      <c r="AP647" s="187" t="s">
        <v>25</v>
      </c>
      <c r="AQ647" s="187">
        <f>Limits!$K$9</f>
        <v>200</v>
      </c>
      <c r="AR647" s="124">
        <v>1200</v>
      </c>
      <c r="AS647" s="187"/>
      <c r="AT647" s="124"/>
      <c r="AV647"/>
      <c r="AX647" s="10"/>
      <c r="AY647" s="11"/>
      <c r="AZ647" s="2"/>
      <c r="BC647"/>
    </row>
    <row r="648" spans="1:55" hidden="1" x14ac:dyDescent="0.25">
      <c r="A648" s="12" t="str">
        <f ca="1">IF(F648+G648+H648+I648+J648+D648+E648=3,IF(Tabelle2[[#This Row],[Kappe Weiß]]=Limits!$R$29,1,""),"")</f>
        <v/>
      </c>
      <c r="B648" s="12" t="str">
        <f ca="1">IF(G648+H648+I648+J648+E648+F648=2,IF(Tabelle2[[#This Row],[Kappe Weiß]]=Limits!$R$29,1,""),"")</f>
        <v/>
      </c>
      <c r="C648" s="291">
        <v>1</v>
      </c>
      <c r="D648" s="171">
        <f>IF(Limits!$P$6=TRUE,1,0)</f>
        <v>0</v>
      </c>
      <c r="E648" s="172">
        <f>IF(Daten!$P648+Daten!$Q648+Daten!$S648=3,1,0)</f>
        <v>0</v>
      </c>
      <c r="F648" s="173">
        <f ca="1">IF(AND(Limits!$Q$21=TRUE,Daten!O648=1)=TRUE,1,0)</f>
        <v>0</v>
      </c>
      <c r="G648" s="174">
        <f>IF(AND(Limits!$Q$25=TRUE,Daten!N648=1)=TRUE,1,0)</f>
        <v>0</v>
      </c>
      <c r="H648" s="174">
        <f>IF(AND(Limits!$Q$24=TRUE,Daten!M648=1)=TRUE,1,0)</f>
        <v>0</v>
      </c>
      <c r="I648" s="174">
        <f>IF(AND(Limits!$Q$23=TRUE,Daten!L648=1)=TRUE,1,0)</f>
        <v>0</v>
      </c>
      <c r="J648" s="174">
        <f>IF(AND(Limits!$Q$22=TRUE,Daten!K648=1)=TRUE,1,0)</f>
        <v>0</v>
      </c>
      <c r="K648" s="188">
        <f>IF(Daten!$V648=13,1,0)</f>
        <v>0</v>
      </c>
      <c r="L648" s="189">
        <f>IF(Daten!$V648&lt;&gt;Daten!$W648,1,IF(Daten!$V648=14,1,0))</f>
        <v>1</v>
      </c>
      <c r="M648" s="189">
        <f>IF(Daten!$V648&lt;&gt;Daten!$W648,1,IF(Daten!$V648=16,1,0))</f>
        <v>0</v>
      </c>
      <c r="N648" s="189">
        <f>IF(Daten!$W648=17,1,0)</f>
        <v>0</v>
      </c>
      <c r="O648" s="190">
        <f ca="1">IF(Daten!$X648=Sprache!$A$70,1,0)</f>
        <v>0</v>
      </c>
      <c r="P648" s="191">
        <f>IF(AND(Daten!$AQ648&lt;=KINVARO!$AW$3,Daten!$AR648&gt;=KINVARO!$AW$3)=TRUE,1,0)</f>
        <v>1</v>
      </c>
      <c r="Q648" s="192">
        <f>IF(AND(Daten!$AA648&lt;=KINVARO!$AW$4,Daten!$AB648&gt;=KINVARO!$AW$4)=TRUE,1,0)</f>
        <v>0</v>
      </c>
      <c r="R648" s="192"/>
      <c r="S648" s="192">
        <f>IF(AND(Daten!$AD648&lt;=Limits!$I$70,Daten!$AE648&gt;=Limits!$I$70)=TRUE,1,0)</f>
        <v>0</v>
      </c>
      <c r="T648" s="193">
        <f ca="1">IF(Daten!$Y648=Sprache!$A$135,1,0)</f>
        <v>0</v>
      </c>
      <c r="U648" s="124" t="str">
        <f ca="1">Sprache!$A$68</f>
        <v>T-65 Поворотный подъемник</v>
      </c>
      <c r="V648" s="194">
        <v>14</v>
      </c>
      <c r="W648" s="193">
        <v>14</v>
      </c>
      <c r="X648" s="187" t="str">
        <f ca="1">Sprache!$A$141</f>
        <v>Alu</v>
      </c>
      <c r="Y648" s="187" t="str">
        <f ca="1">Sprache!$A$136</f>
        <v>nein</v>
      </c>
      <c r="Z648" s="187" t="str">
        <f ca="1">Sprache!$A$79</f>
        <v>Створка</v>
      </c>
      <c r="AA648" s="187">
        <v>450</v>
      </c>
      <c r="AB648" s="124">
        <v>499</v>
      </c>
      <c r="AC648" s="187"/>
      <c r="AD648" s="195">
        <v>0.7</v>
      </c>
      <c r="AE648" s="196">
        <v>2.2000000000000002</v>
      </c>
      <c r="AF648" s="263" t="str">
        <f>MID(Tabelle2[[#This Row],[bnr full]],1,4)</f>
        <v>F151</v>
      </c>
      <c r="AG648" s="264" t="str">
        <f>MID(Tabelle2[[#This Row],[bnr full]],5,3)</f>
        <v>147</v>
      </c>
      <c r="AH648" s="265" t="str">
        <f>MID(Tabelle2[[#This Row],[bnr full]],8,3)</f>
        <v>799</v>
      </c>
      <c r="AI648" s="264" t="str">
        <f>MID(Tabelle2[[#This Row],[bnr full]],11,3)</f>
        <v>201</v>
      </c>
      <c r="AJ648" s="252" t="str">
        <f>MID(Tabelle2[[#This Row],[bnr full]],11,3)</f>
        <v>201</v>
      </c>
      <c r="AK648" s="197" t="s">
        <v>1669</v>
      </c>
      <c r="AL648" s="124" t="str">
        <f ca="1">Sprache!$A$111</f>
        <v>Комплект (Л + П)</v>
      </c>
      <c r="AM648" s="187" t="s">
        <v>25</v>
      </c>
      <c r="AN648" s="187" t="str">
        <f ca="1">Sprache!$A$130</f>
        <v>Пружина, желтая, двусторонняя</v>
      </c>
      <c r="AO648" s="187" t="s">
        <v>25</v>
      </c>
      <c r="AP648" s="187" t="s">
        <v>25</v>
      </c>
      <c r="AQ648" s="187">
        <f>Limits!$K$9</f>
        <v>200</v>
      </c>
      <c r="AR648" s="124">
        <v>1200</v>
      </c>
      <c r="AS648" s="187"/>
      <c r="AT648" s="124"/>
      <c r="AV648"/>
      <c r="AX648" s="10"/>
      <c r="AY648" s="11"/>
      <c r="AZ648" s="2"/>
      <c r="BC648"/>
    </row>
    <row r="649" spans="1:55" hidden="1" x14ac:dyDescent="0.25">
      <c r="A649" s="12" t="str">
        <f ca="1">IF(F649+G649+H649+I649+J649+D649+E649=3,IF(Tabelle2[[#This Row],[Kappe Weiß]]=Limits!$R$29,1,""),"")</f>
        <v/>
      </c>
      <c r="B649" s="12" t="str">
        <f ca="1">IF(G649+H649+I649+J649+E649+F649=2,IF(Tabelle2[[#This Row],[Kappe Weiß]]=Limits!$R$29,1,""),"")</f>
        <v/>
      </c>
      <c r="C649" s="291">
        <v>1</v>
      </c>
      <c r="D649" s="171">
        <f>IF(Limits!$P$6=TRUE,1,0)</f>
        <v>0</v>
      </c>
      <c r="E649" s="172">
        <f>IF(Daten!$P649+Daten!$Q649+Daten!$S649=3,1,0)</f>
        <v>0</v>
      </c>
      <c r="F649" s="173">
        <f ca="1">IF(AND(Limits!$Q$21=TRUE,Daten!O649=1)=TRUE,1,0)</f>
        <v>0</v>
      </c>
      <c r="G649" s="174">
        <f>IF(AND(Limits!$Q$25=TRUE,Daten!N649=1)=TRUE,1,0)</f>
        <v>0</v>
      </c>
      <c r="H649" s="174">
        <f>IF(AND(Limits!$Q$24=TRUE,Daten!M649=1)=TRUE,1,0)</f>
        <v>0</v>
      </c>
      <c r="I649" s="174">
        <f>IF(AND(Limits!$Q$23=TRUE,Daten!L649=1)=TRUE,1,0)</f>
        <v>0</v>
      </c>
      <c r="J649" s="174">
        <f>IF(AND(Limits!$Q$22=TRUE,Daten!K649=1)=TRUE,1,0)</f>
        <v>0</v>
      </c>
      <c r="K649" s="188">
        <f>IF(Daten!$V649=13,1,0)</f>
        <v>0</v>
      </c>
      <c r="L649" s="189">
        <f>IF(Daten!$V649&lt;&gt;Daten!$W649,1,IF(Daten!$V649=14,1,0))</f>
        <v>1</v>
      </c>
      <c r="M649" s="189">
        <f>IF(Daten!$V649&lt;&gt;Daten!$W649,1,IF(Daten!$V649=16,1,0))</f>
        <v>0</v>
      </c>
      <c r="N649" s="189">
        <f>IF(Daten!$W649=17,1,0)</f>
        <v>0</v>
      </c>
      <c r="O649" s="190">
        <f ca="1">IF(Daten!$X649=Sprache!$A$70,1,0)</f>
        <v>0</v>
      </c>
      <c r="P649" s="191">
        <f>IF(AND(Daten!$AQ649&lt;=KINVARO!$AW$3,Daten!$AR649&gt;=KINVARO!$AW$3)=TRUE,1,0)</f>
        <v>1</v>
      </c>
      <c r="Q649" s="192">
        <f>IF(AND(Daten!$AA649&lt;=KINVARO!$AW$4,Daten!$AB649&gt;=KINVARO!$AW$4)=TRUE,1,0)</f>
        <v>0</v>
      </c>
      <c r="R649" s="192"/>
      <c r="S649" s="192">
        <f>IF(AND(Daten!$AD649&lt;=Limits!$I$70,Daten!$AE649&gt;=Limits!$I$70)=TRUE,1,0)</f>
        <v>0</v>
      </c>
      <c r="T649" s="193">
        <f ca="1">IF(Daten!$Y649=Sprache!$A$135,1,0)</f>
        <v>0</v>
      </c>
      <c r="U649" s="124" t="str">
        <f ca="1">Sprache!$A$68</f>
        <v>T-65 Поворотный подъемник</v>
      </c>
      <c r="V649" s="194">
        <v>14</v>
      </c>
      <c r="W649" s="193">
        <v>14</v>
      </c>
      <c r="X649" s="187" t="str">
        <f ca="1">Sprache!$A$141</f>
        <v>Alu</v>
      </c>
      <c r="Y649" s="187" t="str">
        <f ca="1">Sprache!$A$136</f>
        <v>nein</v>
      </c>
      <c r="Z649" s="187" t="str">
        <f ca="1">Sprache!$A$79</f>
        <v>Створка</v>
      </c>
      <c r="AA649" s="187">
        <v>450</v>
      </c>
      <c r="AB649" s="124">
        <v>499</v>
      </c>
      <c r="AC649" s="187"/>
      <c r="AD649" s="195">
        <v>1.3</v>
      </c>
      <c r="AE649" s="196">
        <v>4.2</v>
      </c>
      <c r="AF649" s="263" t="str">
        <f>MID(Tabelle2[[#This Row],[bnr full]],1,4)</f>
        <v>F151</v>
      </c>
      <c r="AG649" s="264" t="str">
        <f>MID(Tabelle2[[#This Row],[bnr full]],5,3)</f>
        <v>147</v>
      </c>
      <c r="AH649" s="265" t="str">
        <f>MID(Tabelle2[[#This Row],[bnr full]],8,3)</f>
        <v>799</v>
      </c>
      <c r="AI649" s="264" t="str">
        <f>MID(Tabelle2[[#This Row],[bnr full]],11,3)</f>
        <v>201</v>
      </c>
      <c r="AJ649" s="252" t="str">
        <f>MID(Tabelle2[[#This Row],[bnr full]],11,3)</f>
        <v>201</v>
      </c>
      <c r="AK649" s="197" t="s">
        <v>1669</v>
      </c>
      <c r="AL649" s="124" t="str">
        <f ca="1">Sprache!$A$111</f>
        <v>Комплект (Л + П)</v>
      </c>
      <c r="AM649" s="187" t="s">
        <v>25</v>
      </c>
      <c r="AN649" s="187" t="str">
        <f ca="1">Sprache!$A$131</f>
        <v>Пружина, черная, двусторонняя</v>
      </c>
      <c r="AO649" s="187" t="s">
        <v>25</v>
      </c>
      <c r="AP649" s="187" t="s">
        <v>25</v>
      </c>
      <c r="AQ649" s="187">
        <f>Limits!$K$9</f>
        <v>200</v>
      </c>
      <c r="AR649" s="124">
        <v>1200</v>
      </c>
      <c r="AS649" s="187"/>
      <c r="AT649" s="124"/>
      <c r="AV649"/>
      <c r="AX649" s="10"/>
      <c r="AY649" s="11"/>
      <c r="AZ649" s="2"/>
      <c r="BC649"/>
    </row>
    <row r="650" spans="1:55" hidden="1" x14ac:dyDescent="0.25">
      <c r="A650" s="12" t="str">
        <f ca="1">IF(F650+G650+H650+I650+J650+D650+E650=3,IF(Tabelle2[[#This Row],[Kappe Weiß]]=Limits!$R$29,1,""),"")</f>
        <v/>
      </c>
      <c r="B650" s="12" t="str">
        <f ca="1">IF(G650+H650+I650+J650+E650+F650=2,IF(Tabelle2[[#This Row],[Kappe Weiß]]=Limits!$R$29,1,""),"")</f>
        <v/>
      </c>
      <c r="C650" s="291">
        <v>1</v>
      </c>
      <c r="D650" s="171">
        <f>IF(Limits!$P$6=TRUE,1,0)</f>
        <v>0</v>
      </c>
      <c r="E650" s="172">
        <f>IF(Daten!$P650+Daten!$Q650+Daten!$S650=3,1,0)</f>
        <v>0</v>
      </c>
      <c r="F650" s="173">
        <f ca="1">IF(AND(Limits!$Q$21=TRUE,Daten!O650=1)=TRUE,1,0)</f>
        <v>0</v>
      </c>
      <c r="G650" s="174">
        <f>IF(AND(Limits!$Q$25=TRUE,Daten!N650=1)=TRUE,1,0)</f>
        <v>0</v>
      </c>
      <c r="H650" s="174">
        <f>IF(AND(Limits!$Q$24=TRUE,Daten!M650=1)=TRUE,1,0)</f>
        <v>0</v>
      </c>
      <c r="I650" s="174">
        <f>IF(AND(Limits!$Q$23=TRUE,Daten!L650=1)=TRUE,1,0)</f>
        <v>0</v>
      </c>
      <c r="J650" s="174">
        <f>IF(AND(Limits!$Q$22=TRUE,Daten!K650=1)=TRUE,1,0)</f>
        <v>0</v>
      </c>
      <c r="K650" s="188">
        <f>IF(Daten!$V650=13,1,0)</f>
        <v>0</v>
      </c>
      <c r="L650" s="189">
        <f>IF(Daten!$V650&lt;&gt;Daten!$W650,1,IF(Daten!$V650=14,1,0))</f>
        <v>0</v>
      </c>
      <c r="M650" s="189">
        <f>IF(Daten!$V650&lt;&gt;Daten!$W650,1,IF(Daten!$V650=16,1,0))</f>
        <v>1</v>
      </c>
      <c r="N650" s="189">
        <f>IF(Daten!$W650=17,1,0)</f>
        <v>0</v>
      </c>
      <c r="O650" s="190">
        <f ca="1">IF(Daten!$X650=Sprache!$A$70,1,0)</f>
        <v>0</v>
      </c>
      <c r="P650" s="191">
        <f>IF(AND(Daten!$AQ650&lt;=KINVARO!$AW$3,Daten!$AR650&gt;=KINVARO!$AW$3)=TRUE,1,0)</f>
        <v>1</v>
      </c>
      <c r="Q650" s="192">
        <f>IF(AND(Daten!$AA650&lt;=KINVARO!$AW$4,Daten!$AB650&gt;=KINVARO!$AW$4)=TRUE,1,0)</f>
        <v>0</v>
      </c>
      <c r="R650" s="192"/>
      <c r="S650" s="192">
        <f>IF(AND(Daten!$AD650&lt;=Limits!$I$70,Daten!$AE650&gt;=Limits!$I$70)=TRUE,1,0)</f>
        <v>0</v>
      </c>
      <c r="T650" s="193">
        <f ca="1">IF(Daten!$Y650=Sprache!$A$135,1,0)</f>
        <v>0</v>
      </c>
      <c r="U650" s="124" t="str">
        <f ca="1">Sprache!$A$68</f>
        <v>T-65 Поворотный подъемник</v>
      </c>
      <c r="V650" s="194">
        <v>16</v>
      </c>
      <c r="W650" s="193">
        <v>16</v>
      </c>
      <c r="X650" s="187" t="str">
        <f ca="1">Sprache!$A$141</f>
        <v>Alu</v>
      </c>
      <c r="Y650" s="187" t="str">
        <f ca="1">Sprache!$A$136</f>
        <v>nein</v>
      </c>
      <c r="Z650" s="187" t="str">
        <f ca="1">Sprache!$A$79</f>
        <v>Створка</v>
      </c>
      <c r="AA650" s="187">
        <v>450</v>
      </c>
      <c r="AB650" s="124">
        <v>499</v>
      </c>
      <c r="AC650" s="187"/>
      <c r="AD650" s="195">
        <v>0.7</v>
      </c>
      <c r="AE650" s="196">
        <v>2.2000000000000002</v>
      </c>
      <c r="AF650" s="263" t="str">
        <f>MID(Tabelle2[[#This Row],[bnr full]],1,4)</f>
        <v>F151</v>
      </c>
      <c r="AG650" s="264" t="str">
        <f>MID(Tabelle2[[#This Row],[bnr full]],5,3)</f>
        <v>147</v>
      </c>
      <c r="AH650" s="265" t="str">
        <f>MID(Tabelle2[[#This Row],[bnr full]],8,3)</f>
        <v>800</v>
      </c>
      <c r="AI650" s="264" t="str">
        <f>MID(Tabelle2[[#This Row],[bnr full]],11,3)</f>
        <v>201</v>
      </c>
      <c r="AJ650" s="252" t="str">
        <f>MID(Tabelle2[[#This Row],[bnr full]],11,3)</f>
        <v>201</v>
      </c>
      <c r="AK650" s="197" t="s">
        <v>1670</v>
      </c>
      <c r="AL650" s="124" t="str">
        <f ca="1">Sprache!$A$111</f>
        <v>Комплект (Л + П)</v>
      </c>
      <c r="AM650" s="187" t="s">
        <v>25</v>
      </c>
      <c r="AN650" s="187" t="str">
        <f ca="1">Sprache!$A$130</f>
        <v>Пружина, желтая, двусторонняя</v>
      </c>
      <c r="AO650" s="187" t="s">
        <v>25</v>
      </c>
      <c r="AP650" s="187" t="s">
        <v>25</v>
      </c>
      <c r="AQ650" s="187">
        <f>Limits!$K$9</f>
        <v>200</v>
      </c>
      <c r="AR650" s="124">
        <v>1200</v>
      </c>
      <c r="AS650" s="187"/>
      <c r="AT650" s="124"/>
      <c r="AV650"/>
      <c r="AX650" s="10"/>
      <c r="AY650" s="11"/>
      <c r="AZ650" s="2"/>
      <c r="BC650"/>
    </row>
    <row r="651" spans="1:55" hidden="1" x14ac:dyDescent="0.25">
      <c r="A651" s="12" t="str">
        <f ca="1">IF(F651+G651+H651+I651+J651+D651+E651=3,IF(Tabelle2[[#This Row],[Kappe Weiß]]=Limits!$R$29,1,""),"")</f>
        <v/>
      </c>
      <c r="B651" s="12" t="str">
        <f ca="1">IF(G651+H651+I651+J651+E651+F651=2,IF(Tabelle2[[#This Row],[Kappe Weiß]]=Limits!$R$29,1,""),"")</f>
        <v/>
      </c>
      <c r="C651" s="291">
        <v>1</v>
      </c>
      <c r="D651" s="171">
        <f>IF(Limits!$P$6=TRUE,1,0)</f>
        <v>0</v>
      </c>
      <c r="E651" s="172">
        <f>IF(Daten!$P651+Daten!$Q651+Daten!$S651=3,1,0)</f>
        <v>0</v>
      </c>
      <c r="F651" s="173">
        <f ca="1">IF(AND(Limits!$Q$21=TRUE,Daten!O651=1)=TRUE,1,0)</f>
        <v>0</v>
      </c>
      <c r="G651" s="174">
        <f>IF(AND(Limits!$Q$25=TRUE,Daten!N651=1)=TRUE,1,0)</f>
        <v>0</v>
      </c>
      <c r="H651" s="174">
        <f>IF(AND(Limits!$Q$24=TRUE,Daten!M651=1)=TRUE,1,0)</f>
        <v>0</v>
      </c>
      <c r="I651" s="174">
        <f>IF(AND(Limits!$Q$23=TRUE,Daten!L651=1)=TRUE,1,0)</f>
        <v>0</v>
      </c>
      <c r="J651" s="174">
        <f>IF(AND(Limits!$Q$22=TRUE,Daten!K651=1)=TRUE,1,0)</f>
        <v>0</v>
      </c>
      <c r="K651" s="188">
        <f>IF(Daten!$V651=13,1,0)</f>
        <v>0</v>
      </c>
      <c r="L651" s="189">
        <f>IF(Daten!$V651&lt;&gt;Daten!$W651,1,IF(Daten!$V651=14,1,0))</f>
        <v>0</v>
      </c>
      <c r="M651" s="189">
        <f>IF(Daten!$V651&lt;&gt;Daten!$W651,1,IF(Daten!$V651=16,1,0))</f>
        <v>1</v>
      </c>
      <c r="N651" s="189">
        <f>IF(Daten!$W651=17,1,0)</f>
        <v>0</v>
      </c>
      <c r="O651" s="190">
        <f ca="1">IF(Daten!$X651=Sprache!$A$70,1,0)</f>
        <v>0</v>
      </c>
      <c r="P651" s="191">
        <f>IF(AND(Daten!$AQ651&lt;=KINVARO!$AW$3,Daten!$AR651&gt;=KINVARO!$AW$3)=TRUE,1,0)</f>
        <v>1</v>
      </c>
      <c r="Q651" s="192">
        <f>IF(AND(Daten!$AA651&lt;=KINVARO!$AW$4,Daten!$AB651&gt;=KINVARO!$AW$4)=TRUE,1,0)</f>
        <v>0</v>
      </c>
      <c r="R651" s="192"/>
      <c r="S651" s="192">
        <f>IF(AND(Daten!$AD651&lt;=Limits!$I$70,Daten!$AE651&gt;=Limits!$I$70)=TRUE,1,0)</f>
        <v>0</v>
      </c>
      <c r="T651" s="193">
        <f ca="1">IF(Daten!$Y651=Sprache!$A$135,1,0)</f>
        <v>0</v>
      </c>
      <c r="U651" s="124" t="str">
        <f ca="1">Sprache!$A$68</f>
        <v>T-65 Поворотный подъемник</v>
      </c>
      <c r="V651" s="194">
        <v>16</v>
      </c>
      <c r="W651" s="193">
        <v>16</v>
      </c>
      <c r="X651" s="187" t="str">
        <f ca="1">Sprache!$A$141</f>
        <v>Alu</v>
      </c>
      <c r="Y651" s="187" t="str">
        <f ca="1">Sprache!$A$136</f>
        <v>nein</v>
      </c>
      <c r="Z651" s="187" t="str">
        <f ca="1">Sprache!$A$79</f>
        <v>Створка</v>
      </c>
      <c r="AA651" s="187">
        <v>450</v>
      </c>
      <c r="AB651" s="124">
        <v>499</v>
      </c>
      <c r="AC651" s="187"/>
      <c r="AD651" s="195">
        <v>1.3</v>
      </c>
      <c r="AE651" s="196">
        <v>4.2</v>
      </c>
      <c r="AF651" s="263" t="str">
        <f>MID(Tabelle2[[#This Row],[bnr full]],1,4)</f>
        <v>F151</v>
      </c>
      <c r="AG651" s="264" t="str">
        <f>MID(Tabelle2[[#This Row],[bnr full]],5,3)</f>
        <v>147</v>
      </c>
      <c r="AH651" s="265" t="str">
        <f>MID(Tabelle2[[#This Row],[bnr full]],8,3)</f>
        <v>800</v>
      </c>
      <c r="AI651" s="264" t="str">
        <f>MID(Tabelle2[[#This Row],[bnr full]],11,3)</f>
        <v>201</v>
      </c>
      <c r="AJ651" s="252" t="str">
        <f>MID(Tabelle2[[#This Row],[bnr full]],11,3)</f>
        <v>201</v>
      </c>
      <c r="AK651" s="197" t="s">
        <v>1670</v>
      </c>
      <c r="AL651" s="124" t="str">
        <f ca="1">Sprache!$A$111</f>
        <v>Комплект (Л + П)</v>
      </c>
      <c r="AM651" s="187" t="s">
        <v>25</v>
      </c>
      <c r="AN651" s="187" t="str">
        <f ca="1">Sprache!$A$131</f>
        <v>Пружина, черная, двусторонняя</v>
      </c>
      <c r="AO651" s="187" t="s">
        <v>25</v>
      </c>
      <c r="AP651" s="187" t="s">
        <v>25</v>
      </c>
      <c r="AQ651" s="187">
        <f>Limits!$K$9</f>
        <v>200</v>
      </c>
      <c r="AR651" s="124">
        <v>1200</v>
      </c>
      <c r="AS651" s="187"/>
      <c r="AT651" s="124"/>
      <c r="AV651"/>
      <c r="AX651" s="10"/>
      <c r="AY651" s="11"/>
      <c r="AZ651" s="2"/>
      <c r="BC651"/>
    </row>
    <row r="652" spans="1:55" hidden="1" x14ac:dyDescent="0.25">
      <c r="A652" s="12" t="str">
        <f ca="1">IF(F652+G652+H652+I652+J652+D652+E652=3,IF(Tabelle2[[#This Row],[Kappe Weiß]]=Limits!$R$29,1,""),"")</f>
        <v/>
      </c>
      <c r="B652" s="12" t="str">
        <f ca="1">IF(G652+H652+I652+J652+E652+F652=2,IF(Tabelle2[[#This Row],[Kappe Weiß]]=Limits!$R$29,1,""),"")</f>
        <v/>
      </c>
      <c r="C652" s="291">
        <v>1</v>
      </c>
      <c r="D652" s="171">
        <f>IF(Limits!$P$6=TRUE,1,0)</f>
        <v>0</v>
      </c>
      <c r="E652" s="172">
        <f>IF(Daten!$P652+Daten!$Q652+Daten!$S652=3,1,0)</f>
        <v>0</v>
      </c>
      <c r="F652" s="173">
        <f ca="1">IF(AND(Limits!$Q$21=TRUE,Daten!O652=1)=TRUE,1,0)</f>
        <v>0</v>
      </c>
      <c r="G652" s="174">
        <f>IF(AND(Limits!$Q$25=TRUE,Daten!N652=1)=TRUE,1,0)</f>
        <v>0</v>
      </c>
      <c r="H652" s="174">
        <f>IF(AND(Limits!$Q$24=TRUE,Daten!M652=1)=TRUE,1,0)</f>
        <v>0</v>
      </c>
      <c r="I652" s="174">
        <f>IF(AND(Limits!$Q$23=TRUE,Daten!L652=1)=TRUE,1,0)</f>
        <v>0</v>
      </c>
      <c r="J652" s="174">
        <f>IF(AND(Limits!$Q$22=TRUE,Daten!K652=1)=TRUE,1,0)</f>
        <v>0</v>
      </c>
      <c r="K652" s="188">
        <f>IF(Daten!$V652=13,1,0)</f>
        <v>0</v>
      </c>
      <c r="L652" s="189">
        <f>IF(Daten!$V652&lt;&gt;Daten!$W652,1,IF(Daten!$V652=14,1,0))</f>
        <v>0</v>
      </c>
      <c r="M652" s="189">
        <f>IF(Daten!$V652&lt;&gt;Daten!$W652,1,IF(Daten!$V652=16,1,0))</f>
        <v>0</v>
      </c>
      <c r="N652" s="189">
        <f>IF(Daten!$W652=17,1,0)</f>
        <v>1</v>
      </c>
      <c r="O652" s="190">
        <f ca="1">IF(Daten!$X652=Sprache!$A$70,1,0)</f>
        <v>0</v>
      </c>
      <c r="P652" s="191">
        <f>IF(AND(Daten!$AQ652&lt;=KINVARO!$AW$3,Daten!$AR652&gt;=KINVARO!$AW$3)=TRUE,1,0)</f>
        <v>1</v>
      </c>
      <c r="Q652" s="192">
        <f>IF(AND(Daten!$AA652&lt;=KINVARO!$AW$4,Daten!$AB652&gt;=KINVARO!$AW$4)=TRUE,1,0)</f>
        <v>0</v>
      </c>
      <c r="R652" s="192"/>
      <c r="S652" s="192">
        <f>IF(AND(Daten!$AD652&lt;=Limits!$I$70,Daten!$AE652&gt;=Limits!$I$70)=TRUE,1,0)</f>
        <v>0</v>
      </c>
      <c r="T652" s="193">
        <f ca="1">IF(Daten!$Y652=Sprache!$A$135,1,0)</f>
        <v>0</v>
      </c>
      <c r="U652" s="124" t="str">
        <f ca="1">Sprache!$A$68</f>
        <v>T-65 Поворотный подъемник</v>
      </c>
      <c r="V652" s="194">
        <v>17</v>
      </c>
      <c r="W652" s="193">
        <v>17</v>
      </c>
      <c r="X652" s="187" t="str">
        <f ca="1">Sprache!$A$141</f>
        <v>Alu</v>
      </c>
      <c r="Y652" s="187" t="str">
        <f ca="1">Sprache!$A$136</f>
        <v>nein</v>
      </c>
      <c r="Z652" s="187" t="str">
        <f ca="1">Sprache!$A$79</f>
        <v>Створка</v>
      </c>
      <c r="AA652" s="187">
        <v>450</v>
      </c>
      <c r="AB652" s="124">
        <v>499</v>
      </c>
      <c r="AC652" s="187"/>
      <c r="AD652" s="195">
        <v>0.7</v>
      </c>
      <c r="AE652" s="196">
        <v>2.2000000000000002</v>
      </c>
      <c r="AF652" s="263" t="str">
        <f>MID(Tabelle2[[#This Row],[bnr full]],1,4)</f>
        <v>F151</v>
      </c>
      <c r="AG652" s="264" t="str">
        <f>MID(Tabelle2[[#This Row],[bnr full]],5,3)</f>
        <v>147</v>
      </c>
      <c r="AH652" s="265" t="str">
        <f>MID(Tabelle2[[#This Row],[bnr full]],8,3)</f>
        <v>801</v>
      </c>
      <c r="AI652" s="264" t="str">
        <f>MID(Tabelle2[[#This Row],[bnr full]],11,3)</f>
        <v>201</v>
      </c>
      <c r="AJ652" s="252" t="str">
        <f>MID(Tabelle2[[#This Row],[bnr full]],11,3)</f>
        <v>201</v>
      </c>
      <c r="AK652" s="197" t="s">
        <v>1671</v>
      </c>
      <c r="AL652" s="124" t="str">
        <f ca="1">Sprache!$A$111</f>
        <v>Комплект (Л + П)</v>
      </c>
      <c r="AM652" s="187" t="s">
        <v>25</v>
      </c>
      <c r="AN652" s="187" t="str">
        <f ca="1">Sprache!$A$130</f>
        <v>Пружина, желтая, двусторонняя</v>
      </c>
      <c r="AO652" s="187" t="s">
        <v>25</v>
      </c>
      <c r="AP652" s="187" t="s">
        <v>25</v>
      </c>
      <c r="AQ652" s="187">
        <f>Limits!$K$9</f>
        <v>200</v>
      </c>
      <c r="AR652" s="124">
        <v>1200</v>
      </c>
      <c r="AS652" s="187"/>
      <c r="AT652" s="124"/>
      <c r="AV652"/>
      <c r="AX652" s="10"/>
      <c r="AY652" s="11"/>
      <c r="AZ652" s="2"/>
      <c r="BC652"/>
    </row>
    <row r="653" spans="1:55" hidden="1" x14ac:dyDescent="0.25">
      <c r="A653" s="12" t="str">
        <f ca="1">IF(F653+G653+H653+I653+J653+D653+E653=3,IF(Tabelle2[[#This Row],[Kappe Weiß]]=Limits!$R$29,1,""),"")</f>
        <v/>
      </c>
      <c r="B653" s="12" t="str">
        <f ca="1">IF(G653+H653+I653+J653+E653+F653=2,IF(Tabelle2[[#This Row],[Kappe Weiß]]=Limits!$R$29,1,""),"")</f>
        <v/>
      </c>
      <c r="C653" s="291">
        <v>1</v>
      </c>
      <c r="D653" s="171">
        <f>IF(Limits!$P$6=TRUE,1,0)</f>
        <v>0</v>
      </c>
      <c r="E653" s="172">
        <f>IF(Daten!$P653+Daten!$Q653+Daten!$S653=3,1,0)</f>
        <v>0</v>
      </c>
      <c r="F653" s="173">
        <f ca="1">IF(AND(Limits!$Q$21=TRUE,Daten!O653=1)=TRUE,1,0)</f>
        <v>0</v>
      </c>
      <c r="G653" s="174">
        <f>IF(AND(Limits!$Q$25=TRUE,Daten!N653=1)=TRUE,1,0)</f>
        <v>0</v>
      </c>
      <c r="H653" s="174">
        <f>IF(AND(Limits!$Q$24=TRUE,Daten!M653=1)=TRUE,1,0)</f>
        <v>0</v>
      </c>
      <c r="I653" s="174">
        <f>IF(AND(Limits!$Q$23=TRUE,Daten!L653=1)=TRUE,1,0)</f>
        <v>0</v>
      </c>
      <c r="J653" s="174">
        <f>IF(AND(Limits!$Q$22=TRUE,Daten!K653=1)=TRUE,1,0)</f>
        <v>0</v>
      </c>
      <c r="K653" s="188">
        <f>IF(Daten!$V653=13,1,0)</f>
        <v>0</v>
      </c>
      <c r="L653" s="189">
        <f>IF(Daten!$V653&lt;&gt;Daten!$W653,1,IF(Daten!$V653=14,1,0))</f>
        <v>0</v>
      </c>
      <c r="M653" s="189">
        <f>IF(Daten!$V653&lt;&gt;Daten!$W653,1,IF(Daten!$V653=16,1,0))</f>
        <v>0</v>
      </c>
      <c r="N653" s="189">
        <f>IF(Daten!$W653=17,1,0)</f>
        <v>1</v>
      </c>
      <c r="O653" s="190">
        <f ca="1">IF(Daten!$X653=Sprache!$A$70,1,0)</f>
        <v>0</v>
      </c>
      <c r="P653" s="191">
        <f>IF(AND(Daten!$AQ653&lt;=KINVARO!$AW$3,Daten!$AR653&gt;=KINVARO!$AW$3)=TRUE,1,0)</f>
        <v>1</v>
      </c>
      <c r="Q653" s="192">
        <f>IF(AND(Daten!$AA653&lt;=KINVARO!$AW$4,Daten!$AB653&gt;=KINVARO!$AW$4)=TRUE,1,0)</f>
        <v>0</v>
      </c>
      <c r="R653" s="192"/>
      <c r="S653" s="192">
        <f>IF(AND(Daten!$AD653&lt;=Limits!$I$70,Daten!$AE653&gt;=Limits!$I$70)=TRUE,1,0)</f>
        <v>0</v>
      </c>
      <c r="T653" s="193">
        <f ca="1">IF(Daten!$Y653=Sprache!$A$135,1,0)</f>
        <v>0</v>
      </c>
      <c r="U653" s="124" t="str">
        <f ca="1">Sprache!$A$68</f>
        <v>T-65 Поворотный подъемник</v>
      </c>
      <c r="V653" s="194">
        <v>17</v>
      </c>
      <c r="W653" s="193">
        <v>17</v>
      </c>
      <c r="X653" s="187" t="str">
        <f ca="1">Sprache!$A$141</f>
        <v>Alu</v>
      </c>
      <c r="Y653" s="187" t="str">
        <f ca="1">Sprache!$A$136</f>
        <v>nein</v>
      </c>
      <c r="Z653" s="187" t="str">
        <f ca="1">Sprache!$A$79</f>
        <v>Створка</v>
      </c>
      <c r="AA653" s="187">
        <v>450</v>
      </c>
      <c r="AB653" s="124">
        <v>499</v>
      </c>
      <c r="AC653" s="187"/>
      <c r="AD653" s="195">
        <v>1.3</v>
      </c>
      <c r="AE653" s="196">
        <v>4.2</v>
      </c>
      <c r="AF653" s="263" t="str">
        <f>MID(Tabelle2[[#This Row],[bnr full]],1,4)</f>
        <v>F151</v>
      </c>
      <c r="AG653" s="264" t="str">
        <f>MID(Tabelle2[[#This Row],[bnr full]],5,3)</f>
        <v>147</v>
      </c>
      <c r="AH653" s="265" t="str">
        <f>MID(Tabelle2[[#This Row],[bnr full]],8,3)</f>
        <v>801</v>
      </c>
      <c r="AI653" s="264" t="str">
        <f>MID(Tabelle2[[#This Row],[bnr full]],11,3)</f>
        <v>201</v>
      </c>
      <c r="AJ653" s="252" t="str">
        <f>MID(Tabelle2[[#This Row],[bnr full]],11,3)</f>
        <v>201</v>
      </c>
      <c r="AK653" s="197" t="s">
        <v>1671</v>
      </c>
      <c r="AL653" s="124" t="str">
        <f ca="1">Sprache!$A$111</f>
        <v>Комплект (Л + П)</v>
      </c>
      <c r="AM653" s="187" t="s">
        <v>25</v>
      </c>
      <c r="AN653" s="187" t="str">
        <f ca="1">Sprache!$A$131</f>
        <v>Пружина, черная, двусторонняя</v>
      </c>
      <c r="AO653" s="187" t="s">
        <v>25</v>
      </c>
      <c r="AP653" s="187" t="s">
        <v>25</v>
      </c>
      <c r="AQ653" s="187">
        <f>Limits!$K$9</f>
        <v>200</v>
      </c>
      <c r="AR653" s="124">
        <v>1200</v>
      </c>
      <c r="AS653" s="187"/>
      <c r="AT653" s="124"/>
      <c r="AV653"/>
      <c r="AX653" s="10"/>
      <c r="AY653" s="11"/>
      <c r="AZ653" s="2"/>
      <c r="BC653"/>
    </row>
    <row r="654" spans="1:55" hidden="1" x14ac:dyDescent="0.25">
      <c r="A654" s="12" t="str">
        <f ca="1">IF(F654+G654+H654+I654+J654+D654+E654=3,IF(Tabelle2[[#This Row],[Kappe Weiß]]=Limits!$R$29,1,""),"")</f>
        <v/>
      </c>
      <c r="B654" s="12" t="str">
        <f ca="1">IF(G654+H654+I654+J654+E654+F654=2,IF(Tabelle2[[#This Row],[Kappe Weiß]]=Limits!$R$29,1,""),"")</f>
        <v/>
      </c>
      <c r="C654" s="292">
        <v>1</v>
      </c>
      <c r="D654" s="171">
        <f>IF(Limits!$P$6=TRUE,1,0)</f>
        <v>0</v>
      </c>
      <c r="E654" s="172">
        <f>IF(Daten!$P654+Daten!$Q654+Daten!$S654=3,1,0)</f>
        <v>0</v>
      </c>
      <c r="F654" s="173">
        <f ca="1">IF(AND(Limits!$Q$21=TRUE,Daten!O654=1)=TRUE,1,0)</f>
        <v>1</v>
      </c>
      <c r="G654" s="174">
        <f ca="1">IF(AND(Limits!$Q$25=TRUE,Daten!N654=1)=TRUE,1,0)</f>
        <v>0</v>
      </c>
      <c r="H654" s="174">
        <f ca="1">IF(AND(Limits!$Q$24=TRUE,Daten!M654=1)=TRUE,1,0)</f>
        <v>0</v>
      </c>
      <c r="I654" s="174">
        <f ca="1">IF(AND(Limits!$Q$23=TRUE,Daten!L654=1)=TRUE,1,0)</f>
        <v>0</v>
      </c>
      <c r="J654" s="174">
        <f ca="1">IF(AND(Limits!$Q$22=TRUE,Daten!K654=1)=TRUE,1,0)</f>
        <v>0</v>
      </c>
      <c r="K654" s="188">
        <f ca="1">IF(Daten!$V654=13,1,0)</f>
        <v>0</v>
      </c>
      <c r="L654" s="189">
        <f ca="1">IF(Daten!$V654&lt;&gt;Daten!$W654,1,IF(Daten!$V654=14,1,0))</f>
        <v>0</v>
      </c>
      <c r="M654" s="189">
        <f ca="1">IF(Daten!$V654&lt;&gt;Daten!$W654,1,IF(Daten!$V654=16,1,0))</f>
        <v>0</v>
      </c>
      <c r="N654" s="189">
        <f ca="1">IF(Daten!$W654=17,1,0)</f>
        <v>0</v>
      </c>
      <c r="O654" s="190">
        <f ca="1">IF(Daten!$X654=Sprache!$A$70,1,0)</f>
        <v>1</v>
      </c>
      <c r="P654" s="198">
        <f>IF(AND(Daten!$AQ654&lt;=KINVARO!$AW$3,Daten!$AR654&gt;=KINVARO!$AW$3)=TRUE,1,0)</f>
        <v>1</v>
      </c>
      <c r="Q654" s="199">
        <f>IF(AND(Daten!$AA654&lt;=KINVARO!$AW$4,Daten!$AB654&gt;=KINVARO!$AW$4)=TRUE,1,0)</f>
        <v>0</v>
      </c>
      <c r="R654" s="199"/>
      <c r="S654" s="199">
        <f>IF(AND(Daten!$AD654&lt;=Limits!$I$70,Daten!$AE654&gt;=Limits!$I$70)=TRUE,1,0)</f>
        <v>0</v>
      </c>
      <c r="T654" s="200">
        <f ca="1">IF(Daten!$Y654=Sprache!$A$135,1,0)</f>
        <v>0</v>
      </c>
      <c r="U654" s="201" t="str">
        <f ca="1">Sprache!$A$68</f>
        <v>T-65 Поворотный подъемник</v>
      </c>
      <c r="V654" s="202" t="str">
        <f ca="1">Sprache!$A$74</f>
        <v>var</v>
      </c>
      <c r="W654" s="200" t="str">
        <f ca="1">Sprache!$A$74</f>
        <v>var</v>
      </c>
      <c r="X654" s="203" t="str">
        <f ca="1">Sprache!$A$70</f>
        <v>соединение с древесиной</v>
      </c>
      <c r="Y654" s="187" t="str">
        <f ca="1">Sprache!$A$136</f>
        <v>nein</v>
      </c>
      <c r="Z654" s="203" t="str">
        <f ca="1">Sprache!$A$79</f>
        <v>Створка</v>
      </c>
      <c r="AA654" s="203">
        <v>500</v>
      </c>
      <c r="AB654" s="201">
        <v>549</v>
      </c>
      <c r="AC654" s="203"/>
      <c r="AD654" s="204">
        <v>0.6</v>
      </c>
      <c r="AE654" s="205">
        <v>2</v>
      </c>
      <c r="AF654" s="266" t="str">
        <f>MID(Tabelle2[[#This Row],[bnr full]],1,4)</f>
        <v>F151</v>
      </c>
      <c r="AG654" s="267" t="str">
        <f>MID(Tabelle2[[#This Row],[bnr full]],5,3)</f>
        <v>147</v>
      </c>
      <c r="AH654" s="268" t="str">
        <f>MID(Tabelle2[[#This Row],[bnr full]],8,3)</f>
        <v>797</v>
      </c>
      <c r="AI654" s="267" t="str">
        <f>MID(Tabelle2[[#This Row],[bnr full]],11,3)</f>
        <v>201</v>
      </c>
      <c r="AJ654" s="253" t="str">
        <f>MID(Tabelle2[[#This Row],[bnr full]],11,3)</f>
        <v>201</v>
      </c>
      <c r="AK654" s="197" t="s">
        <v>1667</v>
      </c>
      <c r="AL654" s="201" t="str">
        <f ca="1">Sprache!$A$111</f>
        <v>Комплект (Л + П)</v>
      </c>
      <c r="AM654" s="203" t="s">
        <v>25</v>
      </c>
      <c r="AN654" s="203" t="str">
        <f ca="1">Sprache!$A$130</f>
        <v>Пружина, желтая, двусторонняя</v>
      </c>
      <c r="AO654" s="187" t="s">
        <v>25</v>
      </c>
      <c r="AP654" s="187" t="s">
        <v>25</v>
      </c>
      <c r="AQ654" s="203">
        <f>Limits!$K$9</f>
        <v>200</v>
      </c>
      <c r="AR654" s="201">
        <v>1200</v>
      </c>
      <c r="AS654" s="187"/>
      <c r="AT654" s="124"/>
      <c r="AV654"/>
      <c r="AX654" s="10"/>
      <c r="AY654" s="11"/>
      <c r="AZ654" s="2"/>
      <c r="BC654"/>
    </row>
    <row r="655" spans="1:55" hidden="1" x14ac:dyDescent="0.25">
      <c r="A655" s="12" t="str">
        <f ca="1">IF(F655+G655+H655+I655+J655+D655+E655=3,IF(Tabelle2[[#This Row],[Kappe Weiß]]=Limits!$R$29,1,""),"")</f>
        <v/>
      </c>
      <c r="B655" s="12" t="str">
        <f ca="1">IF(G655+H655+I655+J655+E655+F655=2,IF(Tabelle2[[#This Row],[Kappe Weiß]]=Limits!$R$29,1,""),"")</f>
        <v/>
      </c>
      <c r="C655" s="291">
        <v>1</v>
      </c>
      <c r="D655" s="171">
        <f>IF(Limits!$P$6=TRUE,1,0)</f>
        <v>0</v>
      </c>
      <c r="E655" s="172">
        <f>IF(Daten!$P655+Daten!$Q655+Daten!$S655=3,1,0)</f>
        <v>0</v>
      </c>
      <c r="F655" s="173">
        <f ca="1">IF(AND(Limits!$Q$21=TRUE,Daten!O655=1)=TRUE,1,0)</f>
        <v>1</v>
      </c>
      <c r="G655" s="174">
        <f ca="1">IF(AND(Limits!$Q$25=TRUE,Daten!N655=1)=TRUE,1,0)</f>
        <v>0</v>
      </c>
      <c r="H655" s="174">
        <f ca="1">IF(AND(Limits!$Q$24=TRUE,Daten!M655=1)=TRUE,1,0)</f>
        <v>0</v>
      </c>
      <c r="I655" s="174">
        <f ca="1">IF(AND(Limits!$Q$23=TRUE,Daten!L655=1)=TRUE,1,0)</f>
        <v>0</v>
      </c>
      <c r="J655" s="174">
        <f ca="1">IF(AND(Limits!$Q$22=TRUE,Daten!K655=1)=TRUE,1,0)</f>
        <v>0</v>
      </c>
      <c r="K655" s="188">
        <f ca="1">IF(Daten!$V655=13,1,0)</f>
        <v>0</v>
      </c>
      <c r="L655" s="189">
        <f ca="1">IF(Daten!$V655&lt;&gt;Daten!$W655,1,IF(Daten!$V655=14,1,0))</f>
        <v>0</v>
      </c>
      <c r="M655" s="189">
        <f ca="1">IF(Daten!$V655&lt;&gt;Daten!$W655,1,IF(Daten!$V655=16,1,0))</f>
        <v>0</v>
      </c>
      <c r="N655" s="189">
        <f ca="1">IF(Daten!$W655=17,1,0)</f>
        <v>0</v>
      </c>
      <c r="O655" s="190">
        <f ca="1">IF(Daten!$X655=Sprache!$A$70,1,0)</f>
        <v>1</v>
      </c>
      <c r="P655" s="191">
        <f>IF(AND(Daten!$AQ655&lt;=KINVARO!$AW$3,Daten!$AR655&gt;=KINVARO!$AW$3)=TRUE,1,0)</f>
        <v>1</v>
      </c>
      <c r="Q655" s="192">
        <f>IF(AND(Daten!$AA655&lt;=KINVARO!$AW$4,Daten!$AB655&gt;=KINVARO!$AW$4)=TRUE,1,0)</f>
        <v>0</v>
      </c>
      <c r="R655" s="192"/>
      <c r="S655" s="192">
        <f>IF(AND(Daten!$AD655&lt;=Limits!$I$70,Daten!$AE655&gt;=Limits!$I$70)=TRUE,1,0)</f>
        <v>0</v>
      </c>
      <c r="T655" s="193">
        <f ca="1">IF(Daten!$Y655=Sprache!$A$135,1,0)</f>
        <v>0</v>
      </c>
      <c r="U655" s="124" t="str">
        <f ca="1">Sprache!$A$68</f>
        <v>T-65 Поворотный подъемник</v>
      </c>
      <c r="V655" s="194" t="str">
        <f ca="1">Sprache!$A$74</f>
        <v>var</v>
      </c>
      <c r="W655" s="193" t="str">
        <f ca="1">Sprache!$A$74</f>
        <v>var</v>
      </c>
      <c r="X655" s="187" t="str">
        <f ca="1">Sprache!$A$70</f>
        <v>соединение с древесиной</v>
      </c>
      <c r="Y655" s="187" t="str">
        <f ca="1">Sprache!$A$136</f>
        <v>nein</v>
      </c>
      <c r="Z655" s="187" t="str">
        <f ca="1">Sprache!$A$79</f>
        <v>Створка</v>
      </c>
      <c r="AA655" s="187">
        <v>500</v>
      </c>
      <c r="AB655" s="124">
        <v>549</v>
      </c>
      <c r="AC655" s="187"/>
      <c r="AD655" s="195">
        <v>1.3</v>
      </c>
      <c r="AE655" s="196">
        <v>3.9</v>
      </c>
      <c r="AF655" s="263" t="str">
        <f>MID(Tabelle2[[#This Row],[bnr full]],1,4)</f>
        <v>F151</v>
      </c>
      <c r="AG655" s="264" t="str">
        <f>MID(Tabelle2[[#This Row],[bnr full]],5,3)</f>
        <v>147</v>
      </c>
      <c r="AH655" s="265" t="str">
        <f>MID(Tabelle2[[#This Row],[bnr full]],8,3)</f>
        <v>797</v>
      </c>
      <c r="AI655" s="264" t="str">
        <f>MID(Tabelle2[[#This Row],[bnr full]],11,3)</f>
        <v>201</v>
      </c>
      <c r="AJ655" s="252" t="str">
        <f>MID(Tabelle2[[#This Row],[bnr full]],11,3)</f>
        <v>201</v>
      </c>
      <c r="AK655" s="197" t="s">
        <v>1667</v>
      </c>
      <c r="AL655" s="124" t="str">
        <f ca="1">Sprache!$A$111</f>
        <v>Комплект (Л + П)</v>
      </c>
      <c r="AM655" s="187" t="s">
        <v>25</v>
      </c>
      <c r="AN655" s="187" t="str">
        <f ca="1">Sprache!$A$131</f>
        <v>Пружина, черная, двусторонняя</v>
      </c>
      <c r="AO655" s="187" t="s">
        <v>25</v>
      </c>
      <c r="AP655" s="187" t="s">
        <v>25</v>
      </c>
      <c r="AQ655" s="187">
        <f>Limits!$K$9</f>
        <v>200</v>
      </c>
      <c r="AR655" s="124">
        <v>1200</v>
      </c>
      <c r="AS655" s="187"/>
      <c r="AT655" s="124"/>
      <c r="AV655"/>
      <c r="AX655" s="10"/>
      <c r="AY655" s="11"/>
      <c r="AZ655" s="2"/>
      <c r="BC655"/>
    </row>
    <row r="656" spans="1:55" hidden="1" x14ac:dyDescent="0.25">
      <c r="A656" s="12" t="str">
        <f ca="1">IF(F656+G656+H656+I656+J656+D656+E656=3,IF(Tabelle2[[#This Row],[Kappe Weiß]]=Limits!$R$29,1,""),"")</f>
        <v/>
      </c>
      <c r="B656" s="12" t="str">
        <f ca="1">IF(G656+H656+I656+J656+E656+F656=2,IF(Tabelle2[[#This Row],[Kappe Weiß]]=Limits!$R$29,1,""),"")</f>
        <v/>
      </c>
      <c r="C656" s="291">
        <v>1</v>
      </c>
      <c r="D656" s="171">
        <f>IF(Limits!$P$6=TRUE,1,0)</f>
        <v>0</v>
      </c>
      <c r="E656" s="172">
        <f>IF(Daten!$P656+Daten!$Q656+Daten!$S656=3,1,0)</f>
        <v>0</v>
      </c>
      <c r="F656" s="173">
        <f ca="1">IF(AND(Limits!$Q$21=TRUE,Daten!O656=1)=TRUE,1,0)</f>
        <v>0</v>
      </c>
      <c r="G656" s="174">
        <f>IF(AND(Limits!$Q$25=TRUE,Daten!N656=1)=TRUE,1,0)</f>
        <v>0</v>
      </c>
      <c r="H656" s="174">
        <f>IF(AND(Limits!$Q$24=TRUE,Daten!M656=1)=TRUE,1,0)</f>
        <v>0</v>
      </c>
      <c r="I656" s="174">
        <f>IF(AND(Limits!$Q$23=TRUE,Daten!L656=1)=TRUE,1,0)</f>
        <v>0</v>
      </c>
      <c r="J656" s="174">
        <f>IF(AND(Limits!$Q$22=TRUE,Daten!K656=1)=TRUE,1,0)</f>
        <v>0</v>
      </c>
      <c r="K656" s="188">
        <f>IF(Daten!$V656=13,1,0)</f>
        <v>1</v>
      </c>
      <c r="L656" s="189">
        <f>IF(Daten!$V656&lt;&gt;Daten!$W656,1,IF(Daten!$V656=14,1,0))</f>
        <v>0</v>
      </c>
      <c r="M656" s="189">
        <f>IF(Daten!$V656&lt;&gt;Daten!$W656,1,IF(Daten!$V656=16,1,0))</f>
        <v>0</v>
      </c>
      <c r="N656" s="189">
        <f>IF(Daten!$W656=17,1,0)</f>
        <v>0</v>
      </c>
      <c r="O656" s="190">
        <f ca="1">IF(Daten!$X656=Sprache!$A$70,1,0)</f>
        <v>0</v>
      </c>
      <c r="P656" s="191">
        <f>IF(AND(Daten!$AQ656&lt;=KINVARO!$AW$3,Daten!$AR656&gt;=KINVARO!$AW$3)=TRUE,1,0)</f>
        <v>1</v>
      </c>
      <c r="Q656" s="192">
        <f>IF(AND(Daten!$AA656&lt;=KINVARO!$AW$4,Daten!$AB656&gt;=KINVARO!$AW$4)=TRUE,1,0)</f>
        <v>0</v>
      </c>
      <c r="R656" s="192"/>
      <c r="S656" s="192">
        <f>IF(AND(Daten!$AD656&lt;=Limits!$I$70,Daten!$AE656&gt;=Limits!$I$70)=TRUE,1,0)</f>
        <v>0</v>
      </c>
      <c r="T656" s="193">
        <f ca="1">IF(Daten!$Y656=Sprache!$A$135,1,0)</f>
        <v>0</v>
      </c>
      <c r="U656" s="124" t="str">
        <f ca="1">Sprache!$A$68</f>
        <v>T-65 Поворотный подъемник</v>
      </c>
      <c r="V656" s="194">
        <v>13</v>
      </c>
      <c r="W656" s="193">
        <v>13</v>
      </c>
      <c r="X656" s="187" t="str">
        <f ca="1">Sprache!$A$141</f>
        <v>Alu</v>
      </c>
      <c r="Y656" s="187" t="str">
        <f ca="1">Sprache!$A$136</f>
        <v>nein</v>
      </c>
      <c r="Z656" s="187" t="str">
        <f ca="1">Sprache!$A$79</f>
        <v>Створка</v>
      </c>
      <c r="AA656" s="187">
        <v>500</v>
      </c>
      <c r="AB656" s="124">
        <v>549</v>
      </c>
      <c r="AC656" s="187"/>
      <c r="AD656" s="195">
        <v>0.6</v>
      </c>
      <c r="AE656" s="196">
        <v>2</v>
      </c>
      <c r="AF656" s="263" t="str">
        <f>MID(Tabelle2[[#This Row],[bnr full]],1,4)</f>
        <v>F151</v>
      </c>
      <c r="AG656" s="264" t="str">
        <f>MID(Tabelle2[[#This Row],[bnr full]],5,3)</f>
        <v>147</v>
      </c>
      <c r="AH656" s="265" t="str">
        <f>MID(Tabelle2[[#This Row],[bnr full]],8,3)</f>
        <v>798</v>
      </c>
      <c r="AI656" s="264" t="str">
        <f>MID(Tabelle2[[#This Row],[bnr full]],11,3)</f>
        <v>201</v>
      </c>
      <c r="AJ656" s="252" t="str">
        <f>MID(Tabelle2[[#This Row],[bnr full]],11,3)</f>
        <v>201</v>
      </c>
      <c r="AK656" s="197" t="s">
        <v>1668</v>
      </c>
      <c r="AL656" s="124" t="str">
        <f ca="1">Sprache!$A$111</f>
        <v>Комплект (Л + П)</v>
      </c>
      <c r="AM656" s="187" t="s">
        <v>25</v>
      </c>
      <c r="AN656" s="187" t="str">
        <f ca="1">Sprache!$A$130</f>
        <v>Пружина, желтая, двусторонняя</v>
      </c>
      <c r="AO656" s="187" t="s">
        <v>25</v>
      </c>
      <c r="AP656" s="187" t="s">
        <v>25</v>
      </c>
      <c r="AQ656" s="187">
        <f>Limits!$K$9</f>
        <v>200</v>
      </c>
      <c r="AR656" s="124">
        <v>1200</v>
      </c>
      <c r="AS656" s="187"/>
      <c r="AT656" s="124"/>
      <c r="AV656"/>
      <c r="AX656" s="10"/>
      <c r="AY656" s="11"/>
      <c r="AZ656" s="2"/>
      <c r="BC656"/>
    </row>
    <row r="657" spans="1:55" hidden="1" x14ac:dyDescent="0.25">
      <c r="A657" s="12" t="str">
        <f ca="1">IF(F657+G657+H657+I657+J657+D657+E657=3,IF(Tabelle2[[#This Row],[Kappe Weiß]]=Limits!$R$29,1,""),"")</f>
        <v/>
      </c>
      <c r="B657" s="12" t="str">
        <f ca="1">IF(G657+H657+I657+J657+E657+F657=2,IF(Tabelle2[[#This Row],[Kappe Weiß]]=Limits!$R$29,1,""),"")</f>
        <v/>
      </c>
      <c r="C657" s="291">
        <v>1</v>
      </c>
      <c r="D657" s="171">
        <f>IF(Limits!$P$6=TRUE,1,0)</f>
        <v>0</v>
      </c>
      <c r="E657" s="172">
        <f>IF(Daten!$P657+Daten!$Q657+Daten!$S657=3,1,0)</f>
        <v>0</v>
      </c>
      <c r="F657" s="173">
        <f ca="1">IF(AND(Limits!$Q$21=TRUE,Daten!O657=1)=TRUE,1,0)</f>
        <v>0</v>
      </c>
      <c r="G657" s="174">
        <f>IF(AND(Limits!$Q$25=TRUE,Daten!N657=1)=TRUE,1,0)</f>
        <v>0</v>
      </c>
      <c r="H657" s="174">
        <f>IF(AND(Limits!$Q$24=TRUE,Daten!M657=1)=TRUE,1,0)</f>
        <v>0</v>
      </c>
      <c r="I657" s="174">
        <f>IF(AND(Limits!$Q$23=TRUE,Daten!L657=1)=TRUE,1,0)</f>
        <v>0</v>
      </c>
      <c r="J657" s="174">
        <f>IF(AND(Limits!$Q$22=TRUE,Daten!K657=1)=TRUE,1,0)</f>
        <v>0</v>
      </c>
      <c r="K657" s="188">
        <f>IF(Daten!$V657=13,1,0)</f>
        <v>1</v>
      </c>
      <c r="L657" s="189">
        <f>IF(Daten!$V657&lt;&gt;Daten!$W657,1,IF(Daten!$V657=14,1,0))</f>
        <v>0</v>
      </c>
      <c r="M657" s="189">
        <f>IF(Daten!$V657&lt;&gt;Daten!$W657,1,IF(Daten!$V657=16,1,0))</f>
        <v>0</v>
      </c>
      <c r="N657" s="189">
        <f>IF(Daten!$W657=17,1,0)</f>
        <v>0</v>
      </c>
      <c r="O657" s="190">
        <f ca="1">IF(Daten!$X657=Sprache!$A$70,1,0)</f>
        <v>0</v>
      </c>
      <c r="P657" s="191">
        <f>IF(AND(Daten!$AQ657&lt;=KINVARO!$AW$3,Daten!$AR657&gt;=KINVARO!$AW$3)=TRUE,1,0)</f>
        <v>1</v>
      </c>
      <c r="Q657" s="192">
        <f>IF(AND(Daten!$AA657&lt;=KINVARO!$AW$4,Daten!$AB657&gt;=KINVARO!$AW$4)=TRUE,1,0)</f>
        <v>0</v>
      </c>
      <c r="R657" s="192"/>
      <c r="S657" s="192">
        <f>IF(AND(Daten!$AD657&lt;=Limits!$I$70,Daten!$AE657&gt;=Limits!$I$70)=TRUE,1,0)</f>
        <v>0</v>
      </c>
      <c r="T657" s="193">
        <f ca="1">IF(Daten!$Y657=Sprache!$A$135,1,0)</f>
        <v>0</v>
      </c>
      <c r="U657" s="124" t="str">
        <f ca="1">Sprache!$A$68</f>
        <v>T-65 Поворотный подъемник</v>
      </c>
      <c r="V657" s="194">
        <v>13</v>
      </c>
      <c r="W657" s="193">
        <v>13</v>
      </c>
      <c r="X657" s="187" t="str">
        <f ca="1">Sprache!$A$141</f>
        <v>Alu</v>
      </c>
      <c r="Y657" s="187" t="str">
        <f ca="1">Sprache!$A$136</f>
        <v>nein</v>
      </c>
      <c r="Z657" s="187" t="str">
        <f ca="1">Sprache!$A$79</f>
        <v>Створка</v>
      </c>
      <c r="AA657" s="187">
        <v>500</v>
      </c>
      <c r="AB657" s="124">
        <v>549</v>
      </c>
      <c r="AC657" s="187"/>
      <c r="AD657" s="195">
        <v>1.3</v>
      </c>
      <c r="AE657" s="196">
        <v>3.9</v>
      </c>
      <c r="AF657" s="263" t="str">
        <f>MID(Tabelle2[[#This Row],[bnr full]],1,4)</f>
        <v>F151</v>
      </c>
      <c r="AG657" s="264" t="str">
        <f>MID(Tabelle2[[#This Row],[bnr full]],5,3)</f>
        <v>147</v>
      </c>
      <c r="AH657" s="265" t="str">
        <f>MID(Tabelle2[[#This Row],[bnr full]],8,3)</f>
        <v>798</v>
      </c>
      <c r="AI657" s="264" t="str">
        <f>MID(Tabelle2[[#This Row],[bnr full]],11,3)</f>
        <v>201</v>
      </c>
      <c r="AJ657" s="252" t="str">
        <f>MID(Tabelle2[[#This Row],[bnr full]],11,3)</f>
        <v>201</v>
      </c>
      <c r="AK657" s="197" t="s">
        <v>1668</v>
      </c>
      <c r="AL657" s="124" t="str">
        <f ca="1">Sprache!$A$111</f>
        <v>Комплект (Л + П)</v>
      </c>
      <c r="AM657" s="187" t="s">
        <v>25</v>
      </c>
      <c r="AN657" s="187" t="str">
        <f ca="1">Sprache!$A$131</f>
        <v>Пружина, черная, двусторонняя</v>
      </c>
      <c r="AO657" s="187" t="s">
        <v>25</v>
      </c>
      <c r="AP657" s="187" t="s">
        <v>25</v>
      </c>
      <c r="AQ657" s="187">
        <f>Limits!$K$9</f>
        <v>200</v>
      </c>
      <c r="AR657" s="124">
        <v>1200</v>
      </c>
      <c r="AS657" s="187"/>
      <c r="AT657" s="124"/>
      <c r="AV657"/>
      <c r="AX657" s="10"/>
      <c r="AY657" s="11"/>
      <c r="AZ657" s="2"/>
      <c r="BC657"/>
    </row>
    <row r="658" spans="1:55" hidden="1" x14ac:dyDescent="0.25">
      <c r="A658" s="12" t="str">
        <f ca="1">IF(F658+G658+H658+I658+J658+D658+E658=3,IF(Tabelle2[[#This Row],[Kappe Weiß]]=Limits!$R$29,1,""),"")</f>
        <v/>
      </c>
      <c r="B658" s="12" t="str">
        <f ca="1">IF(G658+H658+I658+J658+E658+F658=2,IF(Tabelle2[[#This Row],[Kappe Weiß]]=Limits!$R$29,1,""),"")</f>
        <v/>
      </c>
      <c r="C658" s="291">
        <v>1</v>
      </c>
      <c r="D658" s="171">
        <f>IF(Limits!$P$6=TRUE,1,0)</f>
        <v>0</v>
      </c>
      <c r="E658" s="172">
        <f>IF(Daten!$P658+Daten!$Q658+Daten!$S658=3,1,0)</f>
        <v>0</v>
      </c>
      <c r="F658" s="173">
        <f ca="1">IF(AND(Limits!$Q$21=TRUE,Daten!O658=1)=TRUE,1,0)</f>
        <v>0</v>
      </c>
      <c r="G658" s="174">
        <f>IF(AND(Limits!$Q$25=TRUE,Daten!N658=1)=TRUE,1,0)</f>
        <v>0</v>
      </c>
      <c r="H658" s="174">
        <f>IF(AND(Limits!$Q$24=TRUE,Daten!M658=1)=TRUE,1,0)</f>
        <v>0</v>
      </c>
      <c r="I658" s="174">
        <f>IF(AND(Limits!$Q$23=TRUE,Daten!L658=1)=TRUE,1,0)</f>
        <v>0</v>
      </c>
      <c r="J658" s="174">
        <f>IF(AND(Limits!$Q$22=TRUE,Daten!K658=1)=TRUE,1,0)</f>
        <v>0</v>
      </c>
      <c r="K658" s="188">
        <f>IF(Daten!$V658=13,1,0)</f>
        <v>0</v>
      </c>
      <c r="L658" s="189">
        <f>IF(Daten!$V658&lt;&gt;Daten!$W658,1,IF(Daten!$V658=14,1,0))</f>
        <v>1</v>
      </c>
      <c r="M658" s="189">
        <f>IF(Daten!$V658&lt;&gt;Daten!$W658,1,IF(Daten!$V658=16,1,0))</f>
        <v>0</v>
      </c>
      <c r="N658" s="189">
        <f>IF(Daten!$W658=17,1,0)</f>
        <v>0</v>
      </c>
      <c r="O658" s="190">
        <f ca="1">IF(Daten!$X658=Sprache!$A$70,1,0)</f>
        <v>0</v>
      </c>
      <c r="P658" s="191">
        <f>IF(AND(Daten!$AQ658&lt;=KINVARO!$AW$3,Daten!$AR658&gt;=KINVARO!$AW$3)=TRUE,1,0)</f>
        <v>1</v>
      </c>
      <c r="Q658" s="192">
        <f>IF(AND(Daten!$AA658&lt;=KINVARO!$AW$4,Daten!$AB658&gt;=KINVARO!$AW$4)=TRUE,1,0)</f>
        <v>0</v>
      </c>
      <c r="R658" s="192"/>
      <c r="S658" s="192">
        <f>IF(AND(Daten!$AD658&lt;=Limits!$I$70,Daten!$AE658&gt;=Limits!$I$70)=TRUE,1,0)</f>
        <v>0</v>
      </c>
      <c r="T658" s="193">
        <f ca="1">IF(Daten!$Y658=Sprache!$A$135,1,0)</f>
        <v>0</v>
      </c>
      <c r="U658" s="124" t="str">
        <f ca="1">Sprache!$A$68</f>
        <v>T-65 Поворотный подъемник</v>
      </c>
      <c r="V658" s="194">
        <v>14</v>
      </c>
      <c r="W658" s="193">
        <v>14</v>
      </c>
      <c r="X658" s="187" t="str">
        <f ca="1">Sprache!$A$141</f>
        <v>Alu</v>
      </c>
      <c r="Y658" s="187" t="str">
        <f ca="1">Sprache!$A$136</f>
        <v>nein</v>
      </c>
      <c r="Z658" s="187" t="str">
        <f ca="1">Sprache!$A$79</f>
        <v>Створка</v>
      </c>
      <c r="AA658" s="187">
        <v>500</v>
      </c>
      <c r="AB658" s="124">
        <v>549</v>
      </c>
      <c r="AC658" s="187"/>
      <c r="AD658" s="195">
        <v>0.6</v>
      </c>
      <c r="AE658" s="196">
        <v>2</v>
      </c>
      <c r="AF658" s="263" t="str">
        <f>MID(Tabelle2[[#This Row],[bnr full]],1,4)</f>
        <v>F151</v>
      </c>
      <c r="AG658" s="264" t="str">
        <f>MID(Tabelle2[[#This Row],[bnr full]],5,3)</f>
        <v>147</v>
      </c>
      <c r="AH658" s="265" t="str">
        <f>MID(Tabelle2[[#This Row],[bnr full]],8,3)</f>
        <v>799</v>
      </c>
      <c r="AI658" s="264" t="str">
        <f>MID(Tabelle2[[#This Row],[bnr full]],11,3)</f>
        <v>201</v>
      </c>
      <c r="AJ658" s="252" t="str">
        <f>MID(Tabelle2[[#This Row],[bnr full]],11,3)</f>
        <v>201</v>
      </c>
      <c r="AK658" s="197" t="s">
        <v>1669</v>
      </c>
      <c r="AL658" s="124" t="str">
        <f ca="1">Sprache!$A$111</f>
        <v>Комплект (Л + П)</v>
      </c>
      <c r="AM658" s="187" t="s">
        <v>25</v>
      </c>
      <c r="AN658" s="187" t="str">
        <f ca="1">Sprache!$A$130</f>
        <v>Пружина, желтая, двусторонняя</v>
      </c>
      <c r="AO658" s="187" t="s">
        <v>25</v>
      </c>
      <c r="AP658" s="187" t="s">
        <v>25</v>
      </c>
      <c r="AQ658" s="187">
        <f>Limits!$K$9</f>
        <v>200</v>
      </c>
      <c r="AR658" s="124">
        <v>1200</v>
      </c>
      <c r="AS658" s="187"/>
      <c r="AT658" s="124"/>
      <c r="AV658"/>
      <c r="AX658" s="10"/>
      <c r="AY658" s="11"/>
      <c r="AZ658" s="2"/>
      <c r="BC658"/>
    </row>
    <row r="659" spans="1:55" hidden="1" x14ac:dyDescent="0.25">
      <c r="A659" s="12" t="str">
        <f ca="1">IF(F659+G659+H659+I659+J659+D659+E659=3,IF(Tabelle2[[#This Row],[Kappe Weiß]]=Limits!$R$29,1,""),"")</f>
        <v/>
      </c>
      <c r="B659" s="12" t="str">
        <f ca="1">IF(G659+H659+I659+J659+E659+F659=2,IF(Tabelle2[[#This Row],[Kappe Weiß]]=Limits!$R$29,1,""),"")</f>
        <v/>
      </c>
      <c r="C659" s="291">
        <v>1</v>
      </c>
      <c r="D659" s="171">
        <f>IF(Limits!$P$6=TRUE,1,0)</f>
        <v>0</v>
      </c>
      <c r="E659" s="172">
        <f>IF(Daten!$P659+Daten!$Q659+Daten!$S659=3,1,0)</f>
        <v>0</v>
      </c>
      <c r="F659" s="173">
        <f ca="1">IF(AND(Limits!$Q$21=TRUE,Daten!O659=1)=TRUE,1,0)</f>
        <v>0</v>
      </c>
      <c r="G659" s="174">
        <f>IF(AND(Limits!$Q$25=TRUE,Daten!N659=1)=TRUE,1,0)</f>
        <v>0</v>
      </c>
      <c r="H659" s="174">
        <f>IF(AND(Limits!$Q$24=TRUE,Daten!M659=1)=TRUE,1,0)</f>
        <v>0</v>
      </c>
      <c r="I659" s="174">
        <f>IF(AND(Limits!$Q$23=TRUE,Daten!L659=1)=TRUE,1,0)</f>
        <v>0</v>
      </c>
      <c r="J659" s="174">
        <f>IF(AND(Limits!$Q$22=TRUE,Daten!K659=1)=TRUE,1,0)</f>
        <v>0</v>
      </c>
      <c r="K659" s="188">
        <f>IF(Daten!$V659=13,1,0)</f>
        <v>0</v>
      </c>
      <c r="L659" s="189">
        <f>IF(Daten!$V659&lt;&gt;Daten!$W659,1,IF(Daten!$V659=14,1,0))</f>
        <v>1</v>
      </c>
      <c r="M659" s="189">
        <f>IF(Daten!$V659&lt;&gt;Daten!$W659,1,IF(Daten!$V659=16,1,0))</f>
        <v>0</v>
      </c>
      <c r="N659" s="189">
        <f>IF(Daten!$W659=17,1,0)</f>
        <v>0</v>
      </c>
      <c r="O659" s="190">
        <f ca="1">IF(Daten!$X659=Sprache!$A$70,1,0)</f>
        <v>0</v>
      </c>
      <c r="P659" s="191">
        <f>IF(AND(Daten!$AQ659&lt;=KINVARO!$AW$3,Daten!$AR659&gt;=KINVARO!$AW$3)=TRUE,1,0)</f>
        <v>1</v>
      </c>
      <c r="Q659" s="192">
        <f>IF(AND(Daten!$AA659&lt;=KINVARO!$AW$4,Daten!$AB659&gt;=KINVARO!$AW$4)=TRUE,1,0)</f>
        <v>0</v>
      </c>
      <c r="R659" s="192"/>
      <c r="S659" s="192">
        <f>IF(AND(Daten!$AD659&lt;=Limits!$I$70,Daten!$AE659&gt;=Limits!$I$70)=TRUE,1,0)</f>
        <v>0</v>
      </c>
      <c r="T659" s="193">
        <f ca="1">IF(Daten!$Y659=Sprache!$A$135,1,0)</f>
        <v>0</v>
      </c>
      <c r="U659" s="124" t="str">
        <f ca="1">Sprache!$A$68</f>
        <v>T-65 Поворотный подъемник</v>
      </c>
      <c r="V659" s="194">
        <v>14</v>
      </c>
      <c r="W659" s="193">
        <v>14</v>
      </c>
      <c r="X659" s="187" t="str">
        <f ca="1">Sprache!$A$141</f>
        <v>Alu</v>
      </c>
      <c r="Y659" s="187" t="str">
        <f ca="1">Sprache!$A$136</f>
        <v>nein</v>
      </c>
      <c r="Z659" s="187" t="str">
        <f ca="1">Sprache!$A$79</f>
        <v>Створка</v>
      </c>
      <c r="AA659" s="187">
        <v>500</v>
      </c>
      <c r="AB659" s="124">
        <v>549</v>
      </c>
      <c r="AC659" s="187"/>
      <c r="AD659" s="195">
        <v>1.3</v>
      </c>
      <c r="AE659" s="196">
        <v>3.9</v>
      </c>
      <c r="AF659" s="263" t="str">
        <f>MID(Tabelle2[[#This Row],[bnr full]],1,4)</f>
        <v>F151</v>
      </c>
      <c r="AG659" s="264" t="str">
        <f>MID(Tabelle2[[#This Row],[bnr full]],5,3)</f>
        <v>147</v>
      </c>
      <c r="AH659" s="265" t="str">
        <f>MID(Tabelle2[[#This Row],[bnr full]],8,3)</f>
        <v>799</v>
      </c>
      <c r="AI659" s="264" t="str">
        <f>MID(Tabelle2[[#This Row],[bnr full]],11,3)</f>
        <v>201</v>
      </c>
      <c r="AJ659" s="252" t="str">
        <f>MID(Tabelle2[[#This Row],[bnr full]],11,3)</f>
        <v>201</v>
      </c>
      <c r="AK659" s="197" t="s">
        <v>1669</v>
      </c>
      <c r="AL659" s="124" t="str">
        <f ca="1">Sprache!$A$111</f>
        <v>Комплект (Л + П)</v>
      </c>
      <c r="AM659" s="187" t="s">
        <v>25</v>
      </c>
      <c r="AN659" s="187" t="str">
        <f ca="1">Sprache!$A$131</f>
        <v>Пружина, черная, двусторонняя</v>
      </c>
      <c r="AO659" s="187" t="s">
        <v>25</v>
      </c>
      <c r="AP659" s="187" t="s">
        <v>25</v>
      </c>
      <c r="AQ659" s="187">
        <f>Limits!$K$9</f>
        <v>200</v>
      </c>
      <c r="AR659" s="124">
        <v>1200</v>
      </c>
      <c r="AS659" s="187"/>
      <c r="AT659" s="124"/>
      <c r="AV659"/>
      <c r="AX659" s="10"/>
      <c r="AY659" s="11"/>
      <c r="AZ659" s="2"/>
      <c r="BC659"/>
    </row>
    <row r="660" spans="1:55" hidden="1" x14ac:dyDescent="0.25">
      <c r="A660" s="12" t="str">
        <f ca="1">IF(F660+G660+H660+I660+J660+D660+E660=3,IF(Tabelle2[[#This Row],[Kappe Weiß]]=Limits!$R$29,1,""),"")</f>
        <v/>
      </c>
      <c r="B660" s="12" t="str">
        <f ca="1">IF(G660+H660+I660+J660+E660+F660=2,IF(Tabelle2[[#This Row],[Kappe Weiß]]=Limits!$R$29,1,""),"")</f>
        <v/>
      </c>
      <c r="C660" s="291">
        <v>1</v>
      </c>
      <c r="D660" s="171">
        <f>IF(Limits!$P$6=TRUE,1,0)</f>
        <v>0</v>
      </c>
      <c r="E660" s="172">
        <f>IF(Daten!$P660+Daten!$Q660+Daten!$S660=3,1,0)</f>
        <v>0</v>
      </c>
      <c r="F660" s="173">
        <f ca="1">IF(AND(Limits!$Q$21=TRUE,Daten!O660=1)=TRUE,1,0)</f>
        <v>0</v>
      </c>
      <c r="G660" s="174">
        <f>IF(AND(Limits!$Q$25=TRUE,Daten!N660=1)=TRUE,1,0)</f>
        <v>0</v>
      </c>
      <c r="H660" s="174">
        <f>IF(AND(Limits!$Q$24=TRUE,Daten!M660=1)=TRUE,1,0)</f>
        <v>0</v>
      </c>
      <c r="I660" s="174">
        <f>IF(AND(Limits!$Q$23=TRUE,Daten!L660=1)=TRUE,1,0)</f>
        <v>0</v>
      </c>
      <c r="J660" s="174">
        <f>IF(AND(Limits!$Q$22=TRUE,Daten!K660=1)=TRUE,1,0)</f>
        <v>0</v>
      </c>
      <c r="K660" s="188">
        <f>IF(Daten!$V660=13,1,0)</f>
        <v>0</v>
      </c>
      <c r="L660" s="189">
        <f>IF(Daten!$V660&lt;&gt;Daten!$W660,1,IF(Daten!$V660=14,1,0))</f>
        <v>0</v>
      </c>
      <c r="M660" s="189">
        <f>IF(Daten!$V660&lt;&gt;Daten!$W660,1,IF(Daten!$V660=16,1,0))</f>
        <v>1</v>
      </c>
      <c r="N660" s="189">
        <f>IF(Daten!$W660=17,1,0)</f>
        <v>0</v>
      </c>
      <c r="O660" s="190">
        <f ca="1">IF(Daten!$X660=Sprache!$A$70,1,0)</f>
        <v>0</v>
      </c>
      <c r="P660" s="191">
        <f>IF(AND(Daten!$AQ660&lt;=KINVARO!$AW$3,Daten!$AR660&gt;=KINVARO!$AW$3)=TRUE,1,0)</f>
        <v>1</v>
      </c>
      <c r="Q660" s="192">
        <f>IF(AND(Daten!$AA660&lt;=KINVARO!$AW$4,Daten!$AB660&gt;=KINVARO!$AW$4)=TRUE,1,0)</f>
        <v>0</v>
      </c>
      <c r="R660" s="192"/>
      <c r="S660" s="192">
        <f>IF(AND(Daten!$AD660&lt;=Limits!$I$70,Daten!$AE660&gt;=Limits!$I$70)=TRUE,1,0)</f>
        <v>0</v>
      </c>
      <c r="T660" s="193">
        <f ca="1">IF(Daten!$Y660=Sprache!$A$135,1,0)</f>
        <v>0</v>
      </c>
      <c r="U660" s="124" t="str">
        <f ca="1">Sprache!$A$68</f>
        <v>T-65 Поворотный подъемник</v>
      </c>
      <c r="V660" s="194">
        <v>16</v>
      </c>
      <c r="W660" s="193">
        <v>16</v>
      </c>
      <c r="X660" s="187" t="str">
        <f ca="1">Sprache!$A$141</f>
        <v>Alu</v>
      </c>
      <c r="Y660" s="187" t="str">
        <f ca="1">Sprache!$A$136</f>
        <v>nein</v>
      </c>
      <c r="Z660" s="187" t="str">
        <f ca="1">Sprache!$A$79</f>
        <v>Створка</v>
      </c>
      <c r="AA660" s="187">
        <v>500</v>
      </c>
      <c r="AB660" s="124">
        <v>549</v>
      </c>
      <c r="AC660" s="187"/>
      <c r="AD660" s="195">
        <v>0.6</v>
      </c>
      <c r="AE660" s="196">
        <v>2</v>
      </c>
      <c r="AF660" s="263" t="str">
        <f>MID(Tabelle2[[#This Row],[bnr full]],1,4)</f>
        <v>F151</v>
      </c>
      <c r="AG660" s="264" t="str">
        <f>MID(Tabelle2[[#This Row],[bnr full]],5,3)</f>
        <v>147</v>
      </c>
      <c r="AH660" s="265" t="str">
        <f>MID(Tabelle2[[#This Row],[bnr full]],8,3)</f>
        <v>800</v>
      </c>
      <c r="AI660" s="264" t="str">
        <f>MID(Tabelle2[[#This Row],[bnr full]],11,3)</f>
        <v>201</v>
      </c>
      <c r="AJ660" s="252" t="str">
        <f>MID(Tabelle2[[#This Row],[bnr full]],11,3)</f>
        <v>201</v>
      </c>
      <c r="AK660" s="197" t="s">
        <v>1670</v>
      </c>
      <c r="AL660" s="124" t="str">
        <f ca="1">Sprache!$A$111</f>
        <v>Комплект (Л + П)</v>
      </c>
      <c r="AM660" s="187" t="s">
        <v>25</v>
      </c>
      <c r="AN660" s="187" t="str">
        <f ca="1">Sprache!$A$130</f>
        <v>Пружина, желтая, двусторонняя</v>
      </c>
      <c r="AO660" s="187" t="s">
        <v>25</v>
      </c>
      <c r="AP660" s="187" t="s">
        <v>25</v>
      </c>
      <c r="AQ660" s="187">
        <f>Limits!$K$9</f>
        <v>200</v>
      </c>
      <c r="AR660" s="124">
        <v>1200</v>
      </c>
      <c r="AS660" s="187"/>
      <c r="AT660" s="124"/>
      <c r="AV660"/>
      <c r="AX660" s="10"/>
      <c r="AY660" s="11"/>
      <c r="AZ660" s="2"/>
      <c r="BC660"/>
    </row>
    <row r="661" spans="1:55" hidden="1" x14ac:dyDescent="0.25">
      <c r="A661" s="12" t="str">
        <f ca="1">IF(F661+G661+H661+I661+J661+D661+E661=3,IF(Tabelle2[[#This Row],[Kappe Weiß]]=Limits!$R$29,1,""),"")</f>
        <v/>
      </c>
      <c r="B661" s="12" t="str">
        <f ca="1">IF(G661+H661+I661+J661+E661+F661=2,IF(Tabelle2[[#This Row],[Kappe Weiß]]=Limits!$R$29,1,""),"")</f>
        <v/>
      </c>
      <c r="C661" s="291">
        <v>1</v>
      </c>
      <c r="D661" s="171">
        <f>IF(Limits!$P$6=TRUE,1,0)</f>
        <v>0</v>
      </c>
      <c r="E661" s="172">
        <f>IF(Daten!$P661+Daten!$Q661+Daten!$S661=3,1,0)</f>
        <v>0</v>
      </c>
      <c r="F661" s="173">
        <f ca="1">IF(AND(Limits!$Q$21=TRUE,Daten!O661=1)=TRUE,1,0)</f>
        <v>0</v>
      </c>
      <c r="G661" s="174">
        <f>IF(AND(Limits!$Q$25=TRUE,Daten!N661=1)=TRUE,1,0)</f>
        <v>0</v>
      </c>
      <c r="H661" s="174">
        <f>IF(AND(Limits!$Q$24=TRUE,Daten!M661=1)=TRUE,1,0)</f>
        <v>0</v>
      </c>
      <c r="I661" s="174">
        <f>IF(AND(Limits!$Q$23=TRUE,Daten!L661=1)=TRUE,1,0)</f>
        <v>0</v>
      </c>
      <c r="J661" s="174">
        <f>IF(AND(Limits!$Q$22=TRUE,Daten!K661=1)=TRUE,1,0)</f>
        <v>0</v>
      </c>
      <c r="K661" s="188">
        <f>IF(Daten!$V661=13,1,0)</f>
        <v>0</v>
      </c>
      <c r="L661" s="189">
        <f>IF(Daten!$V661&lt;&gt;Daten!$W661,1,IF(Daten!$V661=14,1,0))</f>
        <v>0</v>
      </c>
      <c r="M661" s="189">
        <f>IF(Daten!$V661&lt;&gt;Daten!$W661,1,IF(Daten!$V661=16,1,0))</f>
        <v>1</v>
      </c>
      <c r="N661" s="189">
        <f>IF(Daten!$W661=17,1,0)</f>
        <v>0</v>
      </c>
      <c r="O661" s="190">
        <f ca="1">IF(Daten!$X661=Sprache!$A$70,1,0)</f>
        <v>0</v>
      </c>
      <c r="P661" s="191">
        <f>IF(AND(Daten!$AQ661&lt;=KINVARO!$AW$3,Daten!$AR661&gt;=KINVARO!$AW$3)=TRUE,1,0)</f>
        <v>1</v>
      </c>
      <c r="Q661" s="192">
        <f>IF(AND(Daten!$AA661&lt;=KINVARO!$AW$4,Daten!$AB661&gt;=KINVARO!$AW$4)=TRUE,1,0)</f>
        <v>0</v>
      </c>
      <c r="R661" s="192"/>
      <c r="S661" s="192">
        <f>IF(AND(Daten!$AD661&lt;=Limits!$I$70,Daten!$AE661&gt;=Limits!$I$70)=TRUE,1,0)</f>
        <v>0</v>
      </c>
      <c r="T661" s="193">
        <f ca="1">IF(Daten!$Y661=Sprache!$A$135,1,0)</f>
        <v>0</v>
      </c>
      <c r="U661" s="124" t="str">
        <f ca="1">Sprache!$A$68</f>
        <v>T-65 Поворотный подъемник</v>
      </c>
      <c r="V661" s="194">
        <v>16</v>
      </c>
      <c r="W661" s="193">
        <v>16</v>
      </c>
      <c r="X661" s="187" t="str">
        <f ca="1">Sprache!$A$141</f>
        <v>Alu</v>
      </c>
      <c r="Y661" s="187" t="str">
        <f ca="1">Sprache!$A$136</f>
        <v>nein</v>
      </c>
      <c r="Z661" s="187" t="str">
        <f ca="1">Sprache!$A$79</f>
        <v>Створка</v>
      </c>
      <c r="AA661" s="187">
        <v>500</v>
      </c>
      <c r="AB661" s="124">
        <v>549</v>
      </c>
      <c r="AC661" s="187"/>
      <c r="AD661" s="195">
        <v>1.3</v>
      </c>
      <c r="AE661" s="196">
        <v>3.9</v>
      </c>
      <c r="AF661" s="263" t="str">
        <f>MID(Tabelle2[[#This Row],[bnr full]],1,4)</f>
        <v>F151</v>
      </c>
      <c r="AG661" s="264" t="str">
        <f>MID(Tabelle2[[#This Row],[bnr full]],5,3)</f>
        <v>147</v>
      </c>
      <c r="AH661" s="265" t="str">
        <f>MID(Tabelle2[[#This Row],[bnr full]],8,3)</f>
        <v>800</v>
      </c>
      <c r="AI661" s="264" t="str">
        <f>MID(Tabelle2[[#This Row],[bnr full]],11,3)</f>
        <v>201</v>
      </c>
      <c r="AJ661" s="252" t="str">
        <f>MID(Tabelle2[[#This Row],[bnr full]],11,3)</f>
        <v>201</v>
      </c>
      <c r="AK661" s="197" t="s">
        <v>1670</v>
      </c>
      <c r="AL661" s="124" t="str">
        <f ca="1">Sprache!$A$111</f>
        <v>Комплект (Л + П)</v>
      </c>
      <c r="AM661" s="187" t="s">
        <v>25</v>
      </c>
      <c r="AN661" s="187" t="str">
        <f ca="1">Sprache!$A$131</f>
        <v>Пружина, черная, двусторонняя</v>
      </c>
      <c r="AO661" s="187" t="s">
        <v>25</v>
      </c>
      <c r="AP661" s="187" t="s">
        <v>25</v>
      </c>
      <c r="AQ661" s="187">
        <f>Limits!$K$9</f>
        <v>200</v>
      </c>
      <c r="AR661" s="124">
        <v>1200</v>
      </c>
      <c r="AS661" s="187"/>
      <c r="AT661" s="124"/>
      <c r="AV661"/>
      <c r="AX661" s="10"/>
      <c r="AY661" s="11"/>
      <c r="AZ661" s="2"/>
      <c r="BC661"/>
    </row>
    <row r="662" spans="1:55" hidden="1" x14ac:dyDescent="0.25">
      <c r="A662" s="12" t="str">
        <f ca="1">IF(F662+G662+H662+I662+J662+D662+E662=3,IF(Tabelle2[[#This Row],[Kappe Weiß]]=Limits!$R$29,1,""),"")</f>
        <v/>
      </c>
      <c r="B662" s="12" t="str">
        <f ca="1">IF(G662+H662+I662+J662+E662+F662=2,IF(Tabelle2[[#This Row],[Kappe Weiß]]=Limits!$R$29,1,""),"")</f>
        <v/>
      </c>
      <c r="C662" s="291">
        <v>1</v>
      </c>
      <c r="D662" s="171">
        <f>IF(Limits!$P$6=TRUE,1,0)</f>
        <v>0</v>
      </c>
      <c r="E662" s="172">
        <f>IF(Daten!$P662+Daten!$Q662+Daten!$S662=3,1,0)</f>
        <v>0</v>
      </c>
      <c r="F662" s="173">
        <f ca="1">IF(AND(Limits!$Q$21=TRUE,Daten!O662=1)=TRUE,1,0)</f>
        <v>0</v>
      </c>
      <c r="G662" s="174">
        <f>IF(AND(Limits!$Q$25=TRUE,Daten!N662=1)=TRUE,1,0)</f>
        <v>0</v>
      </c>
      <c r="H662" s="174">
        <f>IF(AND(Limits!$Q$24=TRUE,Daten!M662=1)=TRUE,1,0)</f>
        <v>0</v>
      </c>
      <c r="I662" s="174">
        <f>IF(AND(Limits!$Q$23=TRUE,Daten!L662=1)=TRUE,1,0)</f>
        <v>0</v>
      </c>
      <c r="J662" s="174">
        <f>IF(AND(Limits!$Q$22=TRUE,Daten!K662=1)=TRUE,1,0)</f>
        <v>0</v>
      </c>
      <c r="K662" s="188">
        <f>IF(Daten!$V662=13,1,0)</f>
        <v>0</v>
      </c>
      <c r="L662" s="189">
        <f>IF(Daten!$V662&lt;&gt;Daten!$W662,1,IF(Daten!$V662=14,1,0))</f>
        <v>0</v>
      </c>
      <c r="M662" s="189">
        <f>IF(Daten!$V662&lt;&gt;Daten!$W662,1,IF(Daten!$V662=16,1,0))</f>
        <v>0</v>
      </c>
      <c r="N662" s="189">
        <f>IF(Daten!$W662=17,1,0)</f>
        <v>1</v>
      </c>
      <c r="O662" s="190">
        <f ca="1">IF(Daten!$X662=Sprache!$A$70,1,0)</f>
        <v>0</v>
      </c>
      <c r="P662" s="191">
        <f>IF(AND(Daten!$AQ662&lt;=KINVARO!$AW$3,Daten!$AR662&gt;=KINVARO!$AW$3)=TRUE,1,0)</f>
        <v>1</v>
      </c>
      <c r="Q662" s="192">
        <f>IF(AND(Daten!$AA662&lt;=KINVARO!$AW$4,Daten!$AB662&gt;=KINVARO!$AW$4)=TRUE,1,0)</f>
        <v>0</v>
      </c>
      <c r="R662" s="192"/>
      <c r="S662" s="192">
        <f>IF(AND(Daten!$AD662&lt;=Limits!$I$70,Daten!$AE662&gt;=Limits!$I$70)=TRUE,1,0)</f>
        <v>0</v>
      </c>
      <c r="T662" s="193">
        <f ca="1">IF(Daten!$Y662=Sprache!$A$135,1,0)</f>
        <v>0</v>
      </c>
      <c r="U662" s="124" t="str">
        <f ca="1">Sprache!$A$68</f>
        <v>T-65 Поворотный подъемник</v>
      </c>
      <c r="V662" s="194">
        <v>17</v>
      </c>
      <c r="W662" s="193">
        <v>17</v>
      </c>
      <c r="X662" s="187" t="str">
        <f ca="1">Sprache!$A$141</f>
        <v>Alu</v>
      </c>
      <c r="Y662" s="187" t="str">
        <f ca="1">Sprache!$A$136</f>
        <v>nein</v>
      </c>
      <c r="Z662" s="187" t="str">
        <f ca="1">Sprache!$A$79</f>
        <v>Створка</v>
      </c>
      <c r="AA662" s="187">
        <v>500</v>
      </c>
      <c r="AB662" s="124">
        <v>549</v>
      </c>
      <c r="AC662" s="187"/>
      <c r="AD662" s="195">
        <v>0.6</v>
      </c>
      <c r="AE662" s="196">
        <v>2</v>
      </c>
      <c r="AF662" s="263" t="str">
        <f>MID(Tabelle2[[#This Row],[bnr full]],1,4)</f>
        <v>F151</v>
      </c>
      <c r="AG662" s="264" t="str">
        <f>MID(Tabelle2[[#This Row],[bnr full]],5,3)</f>
        <v>147</v>
      </c>
      <c r="AH662" s="265" t="str">
        <f>MID(Tabelle2[[#This Row],[bnr full]],8,3)</f>
        <v>801</v>
      </c>
      <c r="AI662" s="264" t="str">
        <f>MID(Tabelle2[[#This Row],[bnr full]],11,3)</f>
        <v>201</v>
      </c>
      <c r="AJ662" s="252" t="str">
        <f>MID(Tabelle2[[#This Row],[bnr full]],11,3)</f>
        <v>201</v>
      </c>
      <c r="AK662" s="197" t="s">
        <v>1671</v>
      </c>
      <c r="AL662" s="124" t="str">
        <f ca="1">Sprache!$A$111</f>
        <v>Комплект (Л + П)</v>
      </c>
      <c r="AM662" s="187" t="s">
        <v>25</v>
      </c>
      <c r="AN662" s="187" t="str">
        <f ca="1">Sprache!$A$130</f>
        <v>Пружина, желтая, двусторонняя</v>
      </c>
      <c r="AO662" s="187" t="s">
        <v>25</v>
      </c>
      <c r="AP662" s="187" t="s">
        <v>25</v>
      </c>
      <c r="AQ662" s="187">
        <f>Limits!$K$9</f>
        <v>200</v>
      </c>
      <c r="AR662" s="124">
        <v>1200</v>
      </c>
      <c r="AS662" s="187"/>
      <c r="AT662" s="124"/>
      <c r="AV662"/>
      <c r="AX662" s="10"/>
      <c r="AY662" s="11"/>
      <c r="AZ662" s="2"/>
      <c r="BC662"/>
    </row>
    <row r="663" spans="1:55" hidden="1" x14ac:dyDescent="0.25">
      <c r="A663" s="12" t="str">
        <f ca="1">IF(F663+G663+H663+I663+J663+D663+E663=3,IF(Tabelle2[[#This Row],[Kappe Weiß]]=Limits!$R$29,1,""),"")</f>
        <v/>
      </c>
      <c r="B663" s="12" t="str">
        <f ca="1">IF(G663+H663+I663+J663+E663+F663=2,IF(Tabelle2[[#This Row],[Kappe Weiß]]=Limits!$R$29,1,""),"")</f>
        <v/>
      </c>
      <c r="C663" s="291">
        <v>1</v>
      </c>
      <c r="D663" s="171">
        <f>IF(Limits!$P$6=TRUE,1,0)</f>
        <v>0</v>
      </c>
      <c r="E663" s="172">
        <f>IF(Daten!$P663+Daten!$Q663+Daten!$S663=3,1,0)</f>
        <v>0</v>
      </c>
      <c r="F663" s="173">
        <f ca="1">IF(AND(Limits!$Q$21=TRUE,Daten!O663=1)=TRUE,1,0)</f>
        <v>0</v>
      </c>
      <c r="G663" s="174">
        <f>IF(AND(Limits!$Q$25=TRUE,Daten!N663=1)=TRUE,1,0)</f>
        <v>0</v>
      </c>
      <c r="H663" s="174">
        <f>IF(AND(Limits!$Q$24=TRUE,Daten!M663=1)=TRUE,1,0)</f>
        <v>0</v>
      </c>
      <c r="I663" s="174">
        <f>IF(AND(Limits!$Q$23=TRUE,Daten!L663=1)=TRUE,1,0)</f>
        <v>0</v>
      </c>
      <c r="J663" s="174">
        <f>IF(AND(Limits!$Q$22=TRUE,Daten!K663=1)=TRUE,1,0)</f>
        <v>0</v>
      </c>
      <c r="K663" s="188">
        <f>IF(Daten!$V663=13,1,0)</f>
        <v>0</v>
      </c>
      <c r="L663" s="189">
        <f>IF(Daten!$V663&lt;&gt;Daten!$W663,1,IF(Daten!$V663=14,1,0))</f>
        <v>0</v>
      </c>
      <c r="M663" s="189">
        <f>IF(Daten!$V663&lt;&gt;Daten!$W663,1,IF(Daten!$V663=16,1,0))</f>
        <v>0</v>
      </c>
      <c r="N663" s="189">
        <f>IF(Daten!$W663=17,1,0)</f>
        <v>1</v>
      </c>
      <c r="O663" s="190">
        <f ca="1">IF(Daten!$X663=Sprache!$A$70,1,0)</f>
        <v>0</v>
      </c>
      <c r="P663" s="191">
        <f>IF(AND(Daten!$AQ663&lt;=KINVARO!$AW$3,Daten!$AR663&gt;=KINVARO!$AW$3)=TRUE,1,0)</f>
        <v>1</v>
      </c>
      <c r="Q663" s="192">
        <f>IF(AND(Daten!$AA663&lt;=KINVARO!$AW$4,Daten!$AB663&gt;=KINVARO!$AW$4)=TRUE,1,0)</f>
        <v>0</v>
      </c>
      <c r="R663" s="192"/>
      <c r="S663" s="192">
        <f>IF(AND(Daten!$AD663&lt;=Limits!$I$70,Daten!$AE663&gt;=Limits!$I$70)=TRUE,1,0)</f>
        <v>0</v>
      </c>
      <c r="T663" s="193">
        <f ca="1">IF(Daten!$Y663=Sprache!$A$135,1,0)</f>
        <v>0</v>
      </c>
      <c r="U663" s="124" t="str">
        <f ca="1">Sprache!$A$68</f>
        <v>T-65 Поворотный подъемник</v>
      </c>
      <c r="V663" s="194">
        <v>17</v>
      </c>
      <c r="W663" s="193">
        <v>17</v>
      </c>
      <c r="X663" s="187" t="str">
        <f ca="1">Sprache!$A$141</f>
        <v>Alu</v>
      </c>
      <c r="Y663" s="187" t="str">
        <f ca="1">Sprache!$A$136</f>
        <v>nein</v>
      </c>
      <c r="Z663" s="187" t="str">
        <f ca="1">Sprache!$A$79</f>
        <v>Створка</v>
      </c>
      <c r="AA663" s="187">
        <v>500</v>
      </c>
      <c r="AB663" s="124">
        <v>549</v>
      </c>
      <c r="AC663" s="187"/>
      <c r="AD663" s="195">
        <v>1.3</v>
      </c>
      <c r="AE663" s="196">
        <v>3.9</v>
      </c>
      <c r="AF663" s="263" t="str">
        <f>MID(Tabelle2[[#This Row],[bnr full]],1,4)</f>
        <v>F151</v>
      </c>
      <c r="AG663" s="264" t="str">
        <f>MID(Tabelle2[[#This Row],[bnr full]],5,3)</f>
        <v>147</v>
      </c>
      <c r="AH663" s="265" t="str">
        <f>MID(Tabelle2[[#This Row],[bnr full]],8,3)</f>
        <v>801</v>
      </c>
      <c r="AI663" s="264" t="str">
        <f>MID(Tabelle2[[#This Row],[bnr full]],11,3)</f>
        <v>201</v>
      </c>
      <c r="AJ663" s="252" t="str">
        <f>MID(Tabelle2[[#This Row],[bnr full]],11,3)</f>
        <v>201</v>
      </c>
      <c r="AK663" s="197" t="s">
        <v>1671</v>
      </c>
      <c r="AL663" s="124" t="str">
        <f ca="1">Sprache!$A$111</f>
        <v>Комплект (Л + П)</v>
      </c>
      <c r="AM663" s="187" t="s">
        <v>25</v>
      </c>
      <c r="AN663" s="187" t="str">
        <f ca="1">Sprache!$A$131</f>
        <v>Пружина, черная, двусторонняя</v>
      </c>
      <c r="AO663" s="187" t="s">
        <v>25</v>
      </c>
      <c r="AP663" s="187" t="s">
        <v>25</v>
      </c>
      <c r="AQ663" s="187">
        <f>Limits!$K$9</f>
        <v>200</v>
      </c>
      <c r="AR663" s="124">
        <v>1200</v>
      </c>
      <c r="AS663" s="187"/>
      <c r="AT663" s="124"/>
      <c r="AV663"/>
      <c r="AX663" s="10"/>
      <c r="AY663" s="11"/>
      <c r="AZ663" s="2"/>
      <c r="BC663"/>
    </row>
    <row r="664" spans="1:55" hidden="1" x14ac:dyDescent="0.25">
      <c r="A664" s="12" t="str">
        <f ca="1">IF(F664+G664+H664+I664+J664+D664+E664=3,IF(Tabelle2[[#This Row],[Kappe Weiß]]=Limits!$R$29,1,""),"")</f>
        <v/>
      </c>
      <c r="B664" s="12" t="str">
        <f ca="1">IF(G664+H664+I664+J664+E664+F664=2,IF(Tabelle2[[#This Row],[Kappe Weiß]]=Limits!$R$29,1,""),"")</f>
        <v/>
      </c>
      <c r="C664" s="292">
        <v>1</v>
      </c>
      <c r="D664" s="171">
        <f>IF(Limits!$P$6=TRUE,1,0)</f>
        <v>0</v>
      </c>
      <c r="E664" s="172">
        <f>IF(Daten!$P664+Daten!$Q664+Daten!$S664=3,1,0)</f>
        <v>0</v>
      </c>
      <c r="F664" s="173">
        <f ca="1">IF(AND(Limits!$Q$21=TRUE,Daten!O664=1)=TRUE,1,0)</f>
        <v>1</v>
      </c>
      <c r="G664" s="174">
        <f ca="1">IF(AND(Limits!$Q$25=TRUE,Daten!N664=1)=TRUE,1,0)</f>
        <v>0</v>
      </c>
      <c r="H664" s="174">
        <f ca="1">IF(AND(Limits!$Q$24=TRUE,Daten!M664=1)=TRUE,1,0)</f>
        <v>0</v>
      </c>
      <c r="I664" s="174">
        <f ca="1">IF(AND(Limits!$Q$23=TRUE,Daten!L664=1)=TRUE,1,0)</f>
        <v>0</v>
      </c>
      <c r="J664" s="174">
        <f ca="1">IF(AND(Limits!$Q$22=TRUE,Daten!K664=1)=TRUE,1,0)</f>
        <v>0</v>
      </c>
      <c r="K664" s="188">
        <f ca="1">IF(Daten!$V664=13,1,0)</f>
        <v>0</v>
      </c>
      <c r="L664" s="189">
        <f ca="1">IF(Daten!$V664&lt;&gt;Daten!$W664,1,IF(Daten!$V664=14,1,0))</f>
        <v>0</v>
      </c>
      <c r="M664" s="189">
        <f ca="1">IF(Daten!$V664&lt;&gt;Daten!$W664,1,IF(Daten!$V664=16,1,0))</f>
        <v>0</v>
      </c>
      <c r="N664" s="189">
        <f ca="1">IF(Daten!$W664=17,1,0)</f>
        <v>0</v>
      </c>
      <c r="O664" s="190">
        <f ca="1">IF(Daten!$X664=Sprache!$A$70,1,0)</f>
        <v>1</v>
      </c>
      <c r="P664" s="198">
        <f>IF(AND(Daten!$AQ664&lt;=KINVARO!$AW$3,Daten!$AR664&gt;=KINVARO!$AW$3)=TRUE,1,0)</f>
        <v>1</v>
      </c>
      <c r="Q664" s="199">
        <f>IF(AND(Daten!$AA664&lt;=KINVARO!$AW$4,Daten!$AB664&gt;=KINVARO!$AW$4)=TRUE,1,0)</f>
        <v>0</v>
      </c>
      <c r="R664" s="199"/>
      <c r="S664" s="199">
        <f>IF(AND(Daten!$AD664&lt;=Limits!$I$70,Daten!$AE664&gt;=Limits!$I$70)=TRUE,1,0)</f>
        <v>0</v>
      </c>
      <c r="T664" s="200">
        <f ca="1">IF(Daten!$Y664=Sprache!$A$135,1,0)</f>
        <v>0</v>
      </c>
      <c r="U664" s="201" t="str">
        <f ca="1">Sprache!$A$68</f>
        <v>T-65 Поворотный подъемник</v>
      </c>
      <c r="V664" s="202" t="str">
        <f ca="1">Sprache!$A$74</f>
        <v>var</v>
      </c>
      <c r="W664" s="200" t="str">
        <f ca="1">Sprache!$A$74</f>
        <v>var</v>
      </c>
      <c r="X664" s="203" t="str">
        <f ca="1">Sprache!$A$70</f>
        <v>соединение с древесиной</v>
      </c>
      <c r="Y664" s="187" t="str">
        <f ca="1">Sprache!$A$136</f>
        <v>nein</v>
      </c>
      <c r="Z664" s="203" t="str">
        <f ca="1">Sprache!$A$79</f>
        <v>Створка</v>
      </c>
      <c r="AA664" s="203">
        <v>550</v>
      </c>
      <c r="AB664" s="201">
        <v>599</v>
      </c>
      <c r="AC664" s="203"/>
      <c r="AD664" s="204">
        <v>1.3</v>
      </c>
      <c r="AE664" s="205">
        <v>3.4</v>
      </c>
      <c r="AF664" s="266" t="str">
        <f>MID(Tabelle2[[#This Row],[bnr full]],1,4)</f>
        <v>F151</v>
      </c>
      <c r="AG664" s="267" t="str">
        <f>MID(Tabelle2[[#This Row],[bnr full]],5,3)</f>
        <v>147</v>
      </c>
      <c r="AH664" s="268" t="str">
        <f>MID(Tabelle2[[#This Row],[bnr full]],8,3)</f>
        <v>797</v>
      </c>
      <c r="AI664" s="267" t="str">
        <f>MID(Tabelle2[[#This Row],[bnr full]],11,3)</f>
        <v>201</v>
      </c>
      <c r="AJ664" s="253" t="str">
        <f>MID(Tabelle2[[#This Row],[bnr full]],11,3)</f>
        <v>201</v>
      </c>
      <c r="AK664" s="197" t="s">
        <v>1667</v>
      </c>
      <c r="AL664" s="201" t="str">
        <f ca="1">Sprache!$A$111</f>
        <v>Комплект (Л + П)</v>
      </c>
      <c r="AM664" s="203" t="s">
        <v>25</v>
      </c>
      <c r="AN664" s="203" t="str">
        <f ca="1">Sprache!$A$131</f>
        <v>Пружина, черная, двусторонняя</v>
      </c>
      <c r="AO664" s="187" t="s">
        <v>25</v>
      </c>
      <c r="AP664" s="187" t="s">
        <v>25</v>
      </c>
      <c r="AQ664" s="203">
        <f>Limits!$K$9</f>
        <v>200</v>
      </c>
      <c r="AR664" s="201">
        <v>1200</v>
      </c>
      <c r="AS664" s="187"/>
      <c r="AT664" s="124"/>
      <c r="AV664"/>
      <c r="AX664" s="10"/>
      <c r="AY664" s="11"/>
      <c r="AZ664" s="2"/>
      <c r="BC664"/>
    </row>
    <row r="665" spans="1:55" hidden="1" x14ac:dyDescent="0.25">
      <c r="A665" s="12" t="str">
        <f ca="1">IF(F665+G665+H665+I665+J665+D665+E665=3,IF(Tabelle2[[#This Row],[Kappe Weiß]]=Limits!$R$29,1,""),"")</f>
        <v/>
      </c>
      <c r="B665" s="12" t="str">
        <f ca="1">IF(G665+H665+I665+J665+E665+F665=2,IF(Tabelle2[[#This Row],[Kappe Weiß]]=Limits!$R$29,1,""),"")</f>
        <v/>
      </c>
      <c r="C665" s="291">
        <v>1</v>
      </c>
      <c r="D665" s="171">
        <f>IF(Limits!$P$6=TRUE,1,0)</f>
        <v>0</v>
      </c>
      <c r="E665" s="172">
        <f>IF(Daten!$P665+Daten!$Q665+Daten!$S665=3,1,0)</f>
        <v>0</v>
      </c>
      <c r="F665" s="173">
        <f ca="1">IF(AND(Limits!$Q$21=TRUE,Daten!O665=1)=TRUE,1,0)</f>
        <v>0</v>
      </c>
      <c r="G665" s="174">
        <f>IF(AND(Limits!$Q$25=TRUE,Daten!N665=1)=TRUE,1,0)</f>
        <v>0</v>
      </c>
      <c r="H665" s="174">
        <f>IF(AND(Limits!$Q$24=TRUE,Daten!M665=1)=TRUE,1,0)</f>
        <v>0</v>
      </c>
      <c r="I665" s="174">
        <f>IF(AND(Limits!$Q$23=TRUE,Daten!L665=1)=TRUE,1,0)</f>
        <v>0</v>
      </c>
      <c r="J665" s="174">
        <f>IF(AND(Limits!$Q$22=TRUE,Daten!K665=1)=TRUE,1,0)</f>
        <v>0</v>
      </c>
      <c r="K665" s="188">
        <f>IF(Daten!$V665=13,1,0)</f>
        <v>1</v>
      </c>
      <c r="L665" s="189">
        <f>IF(Daten!$V665&lt;&gt;Daten!$W665,1,IF(Daten!$V665=14,1,0))</f>
        <v>0</v>
      </c>
      <c r="M665" s="189">
        <f>IF(Daten!$V665&lt;&gt;Daten!$W665,1,IF(Daten!$V665=16,1,0))</f>
        <v>0</v>
      </c>
      <c r="N665" s="189">
        <f>IF(Daten!$W665=17,1,0)</f>
        <v>0</v>
      </c>
      <c r="O665" s="190">
        <f ca="1">IF(Daten!$X665=Sprache!$A$70,1,0)</f>
        <v>0</v>
      </c>
      <c r="P665" s="191">
        <f>IF(AND(Daten!$AQ665&lt;=KINVARO!$AW$3,Daten!$AR665&gt;=KINVARO!$AW$3)=TRUE,1,0)</f>
        <v>1</v>
      </c>
      <c r="Q665" s="192">
        <f>IF(AND(Daten!$AA665&lt;=KINVARO!$AW$4,Daten!$AB665&gt;=KINVARO!$AW$4)=TRUE,1,0)</f>
        <v>0</v>
      </c>
      <c r="R665" s="192"/>
      <c r="S665" s="192">
        <f>IF(AND(Daten!$AD665&lt;=Limits!$I$70,Daten!$AE665&gt;=Limits!$I$70)=TRUE,1,0)</f>
        <v>0</v>
      </c>
      <c r="T665" s="193">
        <f ca="1">IF(Daten!$Y665=Sprache!$A$135,1,0)</f>
        <v>0</v>
      </c>
      <c r="U665" s="124" t="str">
        <f ca="1">Sprache!$A$68</f>
        <v>T-65 Поворотный подъемник</v>
      </c>
      <c r="V665" s="194">
        <v>13</v>
      </c>
      <c r="W665" s="193">
        <v>13</v>
      </c>
      <c r="X665" s="187" t="str">
        <f ca="1">Sprache!$A$141</f>
        <v>Alu</v>
      </c>
      <c r="Y665" s="187" t="str">
        <f ca="1">Sprache!$A$136</f>
        <v>nein</v>
      </c>
      <c r="Z665" s="187" t="str">
        <f ca="1">Sprache!$A$79</f>
        <v>Створка</v>
      </c>
      <c r="AA665" s="187">
        <v>550</v>
      </c>
      <c r="AB665" s="124">
        <v>599</v>
      </c>
      <c r="AC665" s="187"/>
      <c r="AD665" s="195">
        <v>1.3</v>
      </c>
      <c r="AE665" s="196">
        <v>3.4</v>
      </c>
      <c r="AF665" s="263" t="str">
        <f>MID(Tabelle2[[#This Row],[bnr full]],1,4)</f>
        <v>F151</v>
      </c>
      <c r="AG665" s="264" t="str">
        <f>MID(Tabelle2[[#This Row],[bnr full]],5,3)</f>
        <v>147</v>
      </c>
      <c r="AH665" s="265" t="str">
        <f>MID(Tabelle2[[#This Row],[bnr full]],8,3)</f>
        <v>798</v>
      </c>
      <c r="AI665" s="264" t="str">
        <f>MID(Tabelle2[[#This Row],[bnr full]],11,3)</f>
        <v>201</v>
      </c>
      <c r="AJ665" s="252" t="str">
        <f>MID(Tabelle2[[#This Row],[bnr full]],11,3)</f>
        <v>201</v>
      </c>
      <c r="AK665" s="197" t="s">
        <v>1668</v>
      </c>
      <c r="AL665" s="124" t="str">
        <f ca="1">Sprache!$A$111</f>
        <v>Комплект (Л + П)</v>
      </c>
      <c r="AM665" s="187" t="s">
        <v>25</v>
      </c>
      <c r="AN665" s="187" t="str">
        <f ca="1">Sprache!$A$131</f>
        <v>Пружина, черная, двусторонняя</v>
      </c>
      <c r="AO665" s="187" t="s">
        <v>25</v>
      </c>
      <c r="AP665" s="187" t="s">
        <v>25</v>
      </c>
      <c r="AQ665" s="187">
        <f>Limits!$K$9</f>
        <v>200</v>
      </c>
      <c r="AR665" s="124">
        <v>1200</v>
      </c>
      <c r="AS665" s="187"/>
      <c r="AT665" s="124"/>
      <c r="AV665"/>
      <c r="AX665" s="10"/>
      <c r="AY665" s="11"/>
      <c r="AZ665" s="2"/>
      <c r="BC665"/>
    </row>
    <row r="666" spans="1:55" hidden="1" x14ac:dyDescent="0.25">
      <c r="A666" s="12" t="str">
        <f ca="1">IF(F666+G666+H666+I666+J666+D666+E666=3,IF(Tabelle2[[#This Row],[Kappe Weiß]]=Limits!$R$29,1,""),"")</f>
        <v/>
      </c>
      <c r="B666" s="12" t="str">
        <f ca="1">IF(G666+H666+I666+J666+E666+F666=2,IF(Tabelle2[[#This Row],[Kappe Weiß]]=Limits!$R$29,1,""),"")</f>
        <v/>
      </c>
      <c r="C666" s="291">
        <v>1</v>
      </c>
      <c r="D666" s="171">
        <f>IF(Limits!$P$6=TRUE,1,0)</f>
        <v>0</v>
      </c>
      <c r="E666" s="172">
        <f>IF(Daten!$P666+Daten!$Q666+Daten!$S666=3,1,0)</f>
        <v>0</v>
      </c>
      <c r="F666" s="173">
        <f ca="1">IF(AND(Limits!$Q$21=TRUE,Daten!O666=1)=TRUE,1,0)</f>
        <v>0</v>
      </c>
      <c r="G666" s="174">
        <f>IF(AND(Limits!$Q$25=TRUE,Daten!N666=1)=TRUE,1,0)</f>
        <v>0</v>
      </c>
      <c r="H666" s="174">
        <f>IF(AND(Limits!$Q$24=TRUE,Daten!M666=1)=TRUE,1,0)</f>
        <v>0</v>
      </c>
      <c r="I666" s="174">
        <f>IF(AND(Limits!$Q$23=TRUE,Daten!L666=1)=TRUE,1,0)</f>
        <v>0</v>
      </c>
      <c r="J666" s="174">
        <f>IF(AND(Limits!$Q$22=TRUE,Daten!K666=1)=TRUE,1,0)</f>
        <v>0</v>
      </c>
      <c r="K666" s="188">
        <f>IF(Daten!$V666=13,1,0)</f>
        <v>0</v>
      </c>
      <c r="L666" s="189">
        <f>IF(Daten!$V666&lt;&gt;Daten!$W666,1,IF(Daten!$V666=14,1,0))</f>
        <v>1</v>
      </c>
      <c r="M666" s="189">
        <f>IF(Daten!$V666&lt;&gt;Daten!$W666,1,IF(Daten!$V666=16,1,0))</f>
        <v>0</v>
      </c>
      <c r="N666" s="189">
        <f>IF(Daten!$W666=17,1,0)</f>
        <v>0</v>
      </c>
      <c r="O666" s="190">
        <f ca="1">IF(Daten!$X666=Sprache!$A$70,1,0)</f>
        <v>0</v>
      </c>
      <c r="P666" s="191">
        <f>IF(AND(Daten!$AQ666&lt;=KINVARO!$AW$3,Daten!$AR666&gt;=KINVARO!$AW$3)=TRUE,1,0)</f>
        <v>1</v>
      </c>
      <c r="Q666" s="192">
        <f>IF(AND(Daten!$AA666&lt;=KINVARO!$AW$4,Daten!$AB666&gt;=KINVARO!$AW$4)=TRUE,1,0)</f>
        <v>0</v>
      </c>
      <c r="R666" s="192"/>
      <c r="S666" s="192">
        <f>IF(AND(Daten!$AD666&lt;=Limits!$I$70,Daten!$AE666&gt;=Limits!$I$70)=TRUE,1,0)</f>
        <v>0</v>
      </c>
      <c r="T666" s="193">
        <f ca="1">IF(Daten!$Y666=Sprache!$A$135,1,0)</f>
        <v>0</v>
      </c>
      <c r="U666" s="124" t="str">
        <f ca="1">Sprache!$A$68</f>
        <v>T-65 Поворотный подъемник</v>
      </c>
      <c r="V666" s="194">
        <v>14</v>
      </c>
      <c r="W666" s="193">
        <v>14</v>
      </c>
      <c r="X666" s="187" t="str">
        <f ca="1">Sprache!$A$141</f>
        <v>Alu</v>
      </c>
      <c r="Y666" s="187" t="str">
        <f ca="1">Sprache!$A$136</f>
        <v>nein</v>
      </c>
      <c r="Z666" s="187" t="str">
        <f ca="1">Sprache!$A$79</f>
        <v>Створка</v>
      </c>
      <c r="AA666" s="187">
        <v>550</v>
      </c>
      <c r="AB666" s="124">
        <v>599</v>
      </c>
      <c r="AC666" s="187"/>
      <c r="AD666" s="195">
        <v>1.3</v>
      </c>
      <c r="AE666" s="196">
        <v>3.4</v>
      </c>
      <c r="AF666" s="263" t="str">
        <f>MID(Tabelle2[[#This Row],[bnr full]],1,4)</f>
        <v>F151</v>
      </c>
      <c r="AG666" s="264" t="str">
        <f>MID(Tabelle2[[#This Row],[bnr full]],5,3)</f>
        <v>147</v>
      </c>
      <c r="AH666" s="265" t="str">
        <f>MID(Tabelle2[[#This Row],[bnr full]],8,3)</f>
        <v>799</v>
      </c>
      <c r="AI666" s="264" t="str">
        <f>MID(Tabelle2[[#This Row],[bnr full]],11,3)</f>
        <v>201</v>
      </c>
      <c r="AJ666" s="252" t="str">
        <f>MID(Tabelle2[[#This Row],[bnr full]],11,3)</f>
        <v>201</v>
      </c>
      <c r="AK666" s="197" t="s">
        <v>1669</v>
      </c>
      <c r="AL666" s="124" t="str">
        <f ca="1">Sprache!$A$111</f>
        <v>Комплект (Л + П)</v>
      </c>
      <c r="AM666" s="187" t="s">
        <v>25</v>
      </c>
      <c r="AN666" s="187" t="str">
        <f ca="1">Sprache!$A$131</f>
        <v>Пружина, черная, двусторонняя</v>
      </c>
      <c r="AO666" s="187" t="s">
        <v>25</v>
      </c>
      <c r="AP666" s="187" t="s">
        <v>25</v>
      </c>
      <c r="AQ666" s="187">
        <f>Limits!$K$9</f>
        <v>200</v>
      </c>
      <c r="AR666" s="124">
        <v>1200</v>
      </c>
      <c r="AS666" s="187"/>
      <c r="AT666" s="124"/>
      <c r="AV666"/>
      <c r="AX666" s="10"/>
      <c r="AY666" s="11"/>
      <c r="AZ666" s="2"/>
      <c r="BC666"/>
    </row>
    <row r="667" spans="1:55" hidden="1" x14ac:dyDescent="0.25">
      <c r="A667" s="12" t="str">
        <f ca="1">IF(F667+G667+H667+I667+J667+D667+E667=3,IF(Tabelle2[[#This Row],[Kappe Weiß]]=Limits!$R$29,1,""),"")</f>
        <v/>
      </c>
      <c r="B667" s="12" t="str">
        <f ca="1">IF(G667+H667+I667+J667+E667+F667=2,IF(Tabelle2[[#This Row],[Kappe Weiß]]=Limits!$R$29,1,""),"")</f>
        <v/>
      </c>
      <c r="C667" s="291">
        <v>1</v>
      </c>
      <c r="D667" s="171">
        <f>IF(Limits!$P$6=TRUE,1,0)</f>
        <v>0</v>
      </c>
      <c r="E667" s="172">
        <f>IF(Daten!$P667+Daten!$Q667+Daten!$S667=3,1,0)</f>
        <v>0</v>
      </c>
      <c r="F667" s="173">
        <f ca="1">IF(AND(Limits!$Q$21=TRUE,Daten!O667=1)=TRUE,1,0)</f>
        <v>0</v>
      </c>
      <c r="G667" s="174">
        <f>IF(AND(Limits!$Q$25=TRUE,Daten!N667=1)=TRUE,1,0)</f>
        <v>0</v>
      </c>
      <c r="H667" s="174">
        <f>IF(AND(Limits!$Q$24=TRUE,Daten!M667=1)=TRUE,1,0)</f>
        <v>0</v>
      </c>
      <c r="I667" s="174">
        <f>IF(AND(Limits!$Q$23=TRUE,Daten!L667=1)=TRUE,1,0)</f>
        <v>0</v>
      </c>
      <c r="J667" s="174">
        <f>IF(AND(Limits!$Q$22=TRUE,Daten!K667=1)=TRUE,1,0)</f>
        <v>0</v>
      </c>
      <c r="K667" s="188">
        <f>IF(Daten!$V667=13,1,0)</f>
        <v>0</v>
      </c>
      <c r="L667" s="189">
        <f>IF(Daten!$V667&lt;&gt;Daten!$W667,1,IF(Daten!$V667=14,1,0))</f>
        <v>0</v>
      </c>
      <c r="M667" s="189">
        <f>IF(Daten!$V667&lt;&gt;Daten!$W667,1,IF(Daten!$V667=16,1,0))</f>
        <v>1</v>
      </c>
      <c r="N667" s="189">
        <f>IF(Daten!$W667=17,1,0)</f>
        <v>0</v>
      </c>
      <c r="O667" s="190">
        <f ca="1">IF(Daten!$X667=Sprache!$A$70,1,0)</f>
        <v>0</v>
      </c>
      <c r="P667" s="191">
        <f>IF(AND(Daten!$AQ667&lt;=KINVARO!$AW$3,Daten!$AR667&gt;=KINVARO!$AW$3)=TRUE,1,0)</f>
        <v>1</v>
      </c>
      <c r="Q667" s="192">
        <f>IF(AND(Daten!$AA667&lt;=KINVARO!$AW$4,Daten!$AB667&gt;=KINVARO!$AW$4)=TRUE,1,0)</f>
        <v>0</v>
      </c>
      <c r="R667" s="192"/>
      <c r="S667" s="192">
        <f>IF(AND(Daten!$AD667&lt;=Limits!$I$70,Daten!$AE667&gt;=Limits!$I$70)=TRUE,1,0)</f>
        <v>0</v>
      </c>
      <c r="T667" s="193">
        <f ca="1">IF(Daten!$Y667=Sprache!$A$135,1,0)</f>
        <v>0</v>
      </c>
      <c r="U667" s="124" t="str">
        <f ca="1">Sprache!$A$68</f>
        <v>T-65 Поворотный подъемник</v>
      </c>
      <c r="V667" s="194">
        <v>16</v>
      </c>
      <c r="W667" s="193">
        <v>16</v>
      </c>
      <c r="X667" s="187" t="str">
        <f ca="1">Sprache!$A$141</f>
        <v>Alu</v>
      </c>
      <c r="Y667" s="187" t="str">
        <f ca="1">Sprache!$A$136</f>
        <v>nein</v>
      </c>
      <c r="Z667" s="187" t="str">
        <f ca="1">Sprache!$A$79</f>
        <v>Створка</v>
      </c>
      <c r="AA667" s="187">
        <v>550</v>
      </c>
      <c r="AB667" s="124">
        <v>599</v>
      </c>
      <c r="AC667" s="187"/>
      <c r="AD667" s="195">
        <v>1.3</v>
      </c>
      <c r="AE667" s="196">
        <v>3.4</v>
      </c>
      <c r="AF667" s="263" t="str">
        <f>MID(Tabelle2[[#This Row],[bnr full]],1,4)</f>
        <v>F151</v>
      </c>
      <c r="AG667" s="264" t="str">
        <f>MID(Tabelle2[[#This Row],[bnr full]],5,3)</f>
        <v>147</v>
      </c>
      <c r="AH667" s="265" t="str">
        <f>MID(Tabelle2[[#This Row],[bnr full]],8,3)</f>
        <v>800</v>
      </c>
      <c r="AI667" s="264" t="str">
        <f>MID(Tabelle2[[#This Row],[bnr full]],11,3)</f>
        <v>201</v>
      </c>
      <c r="AJ667" s="252" t="str">
        <f>MID(Tabelle2[[#This Row],[bnr full]],11,3)</f>
        <v>201</v>
      </c>
      <c r="AK667" s="197" t="s">
        <v>1670</v>
      </c>
      <c r="AL667" s="124" t="str">
        <f ca="1">Sprache!$A$111</f>
        <v>Комплект (Л + П)</v>
      </c>
      <c r="AM667" s="187" t="s">
        <v>25</v>
      </c>
      <c r="AN667" s="187" t="str">
        <f ca="1">Sprache!$A$131</f>
        <v>Пружина, черная, двусторонняя</v>
      </c>
      <c r="AO667" s="187" t="s">
        <v>25</v>
      </c>
      <c r="AP667" s="187" t="s">
        <v>25</v>
      </c>
      <c r="AQ667" s="187">
        <f>Limits!$K$9</f>
        <v>200</v>
      </c>
      <c r="AR667" s="124">
        <v>1200</v>
      </c>
      <c r="AS667" s="187"/>
      <c r="AT667" s="124"/>
      <c r="AV667"/>
      <c r="AX667" s="10"/>
      <c r="AY667" s="11"/>
      <c r="AZ667" s="2"/>
      <c r="BC667"/>
    </row>
    <row r="668" spans="1:55" hidden="1" x14ac:dyDescent="0.25">
      <c r="A668" s="12" t="str">
        <f ca="1">IF(F668+G668+H668+I668+J668+D668+E668=3,IF(Tabelle2[[#This Row],[Kappe Weiß]]=Limits!$R$29,1,""),"")</f>
        <v/>
      </c>
      <c r="B668" s="12" t="str">
        <f ca="1">IF(G668+H668+I668+J668+E668+F668=2,IF(Tabelle2[[#This Row],[Kappe Weiß]]=Limits!$R$29,1,""),"")</f>
        <v/>
      </c>
      <c r="C668" s="291">
        <v>1</v>
      </c>
      <c r="D668" s="171">
        <f>IF(Limits!$P$6=TRUE,1,0)</f>
        <v>0</v>
      </c>
      <c r="E668" s="172">
        <f>IF(Daten!$P668+Daten!$Q668+Daten!$S668=3,1,0)</f>
        <v>0</v>
      </c>
      <c r="F668" s="173">
        <f ca="1">IF(AND(Limits!$Q$21=TRUE,Daten!O668=1)=TRUE,1,0)</f>
        <v>0</v>
      </c>
      <c r="G668" s="174">
        <f>IF(AND(Limits!$Q$25=TRUE,Daten!N668=1)=TRUE,1,0)</f>
        <v>0</v>
      </c>
      <c r="H668" s="174">
        <f>IF(AND(Limits!$Q$24=TRUE,Daten!M668=1)=TRUE,1,0)</f>
        <v>0</v>
      </c>
      <c r="I668" s="174">
        <f>IF(AND(Limits!$Q$23=TRUE,Daten!L668=1)=TRUE,1,0)</f>
        <v>0</v>
      </c>
      <c r="J668" s="174">
        <f>IF(AND(Limits!$Q$22=TRUE,Daten!K668=1)=TRUE,1,0)</f>
        <v>0</v>
      </c>
      <c r="K668" s="188">
        <f>IF(Daten!$V668=13,1,0)</f>
        <v>0</v>
      </c>
      <c r="L668" s="189">
        <f>IF(Daten!$V668&lt;&gt;Daten!$W668,1,IF(Daten!$V668=14,1,0))</f>
        <v>0</v>
      </c>
      <c r="M668" s="189">
        <f>IF(Daten!$V668&lt;&gt;Daten!$W668,1,IF(Daten!$V668=16,1,0))</f>
        <v>0</v>
      </c>
      <c r="N668" s="189">
        <f>IF(Daten!$W668=17,1,0)</f>
        <v>1</v>
      </c>
      <c r="O668" s="190">
        <f ca="1">IF(Daten!$X668=Sprache!$A$70,1,0)</f>
        <v>0</v>
      </c>
      <c r="P668" s="191">
        <f>IF(AND(Daten!$AQ668&lt;=KINVARO!$AW$3,Daten!$AR668&gt;=KINVARO!$AW$3)=TRUE,1,0)</f>
        <v>1</v>
      </c>
      <c r="Q668" s="192">
        <f>IF(AND(Daten!$AA668&lt;=KINVARO!$AW$4,Daten!$AB668&gt;=KINVARO!$AW$4)=TRUE,1,0)</f>
        <v>0</v>
      </c>
      <c r="R668" s="192"/>
      <c r="S668" s="192">
        <f>IF(AND(Daten!$AD668&lt;=Limits!$I$70,Daten!$AE668&gt;=Limits!$I$70)=TRUE,1,0)</f>
        <v>0</v>
      </c>
      <c r="T668" s="193">
        <f ca="1">IF(Daten!$Y668=Sprache!$A$135,1,0)</f>
        <v>0</v>
      </c>
      <c r="U668" s="124" t="str">
        <f ca="1">Sprache!$A$68</f>
        <v>T-65 Поворотный подъемник</v>
      </c>
      <c r="V668" s="194">
        <v>17</v>
      </c>
      <c r="W668" s="193">
        <v>17</v>
      </c>
      <c r="X668" s="187" t="str">
        <f ca="1">Sprache!$A$141</f>
        <v>Alu</v>
      </c>
      <c r="Y668" s="187" t="str">
        <f ca="1">Sprache!$A$136</f>
        <v>nein</v>
      </c>
      <c r="Z668" s="187" t="str">
        <f ca="1">Sprache!$A$79</f>
        <v>Створка</v>
      </c>
      <c r="AA668" s="187">
        <v>550</v>
      </c>
      <c r="AB668" s="124">
        <v>599</v>
      </c>
      <c r="AC668" s="187"/>
      <c r="AD668" s="195">
        <v>1.3</v>
      </c>
      <c r="AE668" s="196">
        <v>3.4</v>
      </c>
      <c r="AF668" s="263" t="str">
        <f>MID(Tabelle2[[#This Row],[bnr full]],1,4)</f>
        <v>F151</v>
      </c>
      <c r="AG668" s="264" t="str">
        <f>MID(Tabelle2[[#This Row],[bnr full]],5,3)</f>
        <v>147</v>
      </c>
      <c r="AH668" s="265" t="str">
        <f>MID(Tabelle2[[#This Row],[bnr full]],8,3)</f>
        <v>801</v>
      </c>
      <c r="AI668" s="264" t="str">
        <f>MID(Tabelle2[[#This Row],[bnr full]],11,3)</f>
        <v>201</v>
      </c>
      <c r="AJ668" s="252" t="str">
        <f>MID(Tabelle2[[#This Row],[bnr full]],11,3)</f>
        <v>201</v>
      </c>
      <c r="AK668" s="197" t="s">
        <v>1671</v>
      </c>
      <c r="AL668" s="124" t="str">
        <f ca="1">Sprache!$A$111</f>
        <v>Комплект (Л + П)</v>
      </c>
      <c r="AM668" s="187" t="s">
        <v>25</v>
      </c>
      <c r="AN668" s="187" t="str">
        <f ca="1">Sprache!$A$131</f>
        <v>Пружина, черная, двусторонняя</v>
      </c>
      <c r="AO668" s="187" t="s">
        <v>25</v>
      </c>
      <c r="AP668" s="187" t="s">
        <v>25</v>
      </c>
      <c r="AQ668" s="187">
        <f>Limits!$K$9</f>
        <v>200</v>
      </c>
      <c r="AR668" s="124">
        <v>1200</v>
      </c>
      <c r="AS668" s="187"/>
      <c r="AT668" s="124"/>
      <c r="AV668"/>
      <c r="AX668" s="10"/>
      <c r="AY668" s="11"/>
      <c r="AZ668" s="2"/>
      <c r="BC668"/>
    </row>
    <row r="669" spans="1:55" hidden="1" x14ac:dyDescent="0.25">
      <c r="A669" s="12" t="str">
        <f ca="1">IF(F669+G669+H669+I669+J669+D669+E669=3,IF(Tabelle2[[#This Row],[Kappe Weiß]]=Limits!$R$29,1,""),"")</f>
        <v/>
      </c>
      <c r="B669" s="12" t="str">
        <f ca="1">IF(G669+H669+I669+J669+E669+F669=2,IF(Tabelle2[[#This Row],[Kappe Weiß]]=Limits!$R$29,1,""),"")</f>
        <v/>
      </c>
      <c r="C669" s="292">
        <v>1</v>
      </c>
      <c r="D669" s="171">
        <f>IF(Limits!$P$6=TRUE,1,0)</f>
        <v>0</v>
      </c>
      <c r="E669" s="172">
        <f>IF(Daten!$P669+Daten!$Q669+Daten!$S669=3,1,0)</f>
        <v>0</v>
      </c>
      <c r="F669" s="173">
        <f ca="1">IF(AND(Limits!$Q$21=TRUE,Daten!O669=1)=TRUE,1,0)</f>
        <v>1</v>
      </c>
      <c r="G669" s="174">
        <f ca="1">IF(AND(Limits!$Q$25=TRUE,Daten!N669=1)=TRUE,1,0)</f>
        <v>0</v>
      </c>
      <c r="H669" s="174">
        <f ca="1">IF(AND(Limits!$Q$24=TRUE,Daten!M669=1)=TRUE,1,0)</f>
        <v>0</v>
      </c>
      <c r="I669" s="174">
        <f ca="1">IF(AND(Limits!$Q$23=TRUE,Daten!L669=1)=TRUE,1,0)</f>
        <v>0</v>
      </c>
      <c r="J669" s="174">
        <f ca="1">IF(AND(Limits!$Q$22=TRUE,Daten!K669=1)=TRUE,1,0)</f>
        <v>0</v>
      </c>
      <c r="K669" s="188">
        <f ca="1">IF(Daten!$V669=13,1,0)</f>
        <v>0</v>
      </c>
      <c r="L669" s="189">
        <f ca="1">IF(Daten!$V669&lt;&gt;Daten!$W669,1,IF(Daten!$V669=14,1,0))</f>
        <v>0</v>
      </c>
      <c r="M669" s="189">
        <f ca="1">IF(Daten!$V669&lt;&gt;Daten!$W669,1,IF(Daten!$V669=16,1,0))</f>
        <v>0</v>
      </c>
      <c r="N669" s="189">
        <f ca="1">IF(Daten!$W669=17,1,0)</f>
        <v>0</v>
      </c>
      <c r="O669" s="190">
        <f ca="1">IF(Daten!$X669=Sprache!$A$70,1,0)</f>
        <v>1</v>
      </c>
      <c r="P669" s="198">
        <f>IF(AND(Daten!$AQ669&lt;=KINVARO!$AW$3,Daten!$AR669&gt;=KINVARO!$AW$3)=TRUE,1,0)</f>
        <v>1</v>
      </c>
      <c r="Q669" s="199">
        <f>IF(AND(Daten!$AA669&lt;=KINVARO!$AW$4,Daten!$AB669&gt;=KINVARO!$AW$4)=TRUE,1,0)</f>
        <v>0</v>
      </c>
      <c r="R669" s="199"/>
      <c r="S669" s="199">
        <f>IF(AND(Daten!$AD669&lt;=Limits!$I$70,Daten!$AE669&gt;=Limits!$I$70)=TRUE,1,0)</f>
        <v>0</v>
      </c>
      <c r="T669" s="200">
        <f ca="1">IF(Daten!$Y669=Sprache!$A$135,1,0)</f>
        <v>0</v>
      </c>
      <c r="U669" s="201" t="str">
        <f ca="1">Sprache!$A$68</f>
        <v>T-65 Поворотный подъемник</v>
      </c>
      <c r="V669" s="202" t="str">
        <f ca="1">Sprache!$A$74</f>
        <v>var</v>
      </c>
      <c r="W669" s="200" t="str">
        <f ca="1">Sprache!$A$74</f>
        <v>var</v>
      </c>
      <c r="X669" s="203" t="str">
        <f ca="1">Sprache!$A$70</f>
        <v>соединение с древесиной</v>
      </c>
      <c r="Y669" s="187" t="str">
        <f ca="1">Sprache!$A$136</f>
        <v>nein</v>
      </c>
      <c r="Z669" s="203" t="str">
        <f ca="1">Sprache!$A$79</f>
        <v>Створка</v>
      </c>
      <c r="AA669" s="203">
        <v>600</v>
      </c>
      <c r="AB669" s="201">
        <v>600</v>
      </c>
      <c r="AC669" s="203"/>
      <c r="AD669" s="204">
        <v>1.3</v>
      </c>
      <c r="AE669" s="205">
        <v>3.1</v>
      </c>
      <c r="AF669" s="266" t="str">
        <f>MID(Tabelle2[[#This Row],[bnr full]],1,4)</f>
        <v>F151</v>
      </c>
      <c r="AG669" s="267" t="str">
        <f>MID(Tabelle2[[#This Row],[bnr full]],5,3)</f>
        <v>147</v>
      </c>
      <c r="AH669" s="268" t="str">
        <f>MID(Tabelle2[[#This Row],[bnr full]],8,3)</f>
        <v>797</v>
      </c>
      <c r="AI669" s="267" t="str">
        <f>MID(Tabelle2[[#This Row],[bnr full]],11,3)</f>
        <v>201</v>
      </c>
      <c r="AJ669" s="253" t="str">
        <f>MID(Tabelle2[[#This Row],[bnr full]],11,3)</f>
        <v>201</v>
      </c>
      <c r="AK669" s="197" t="s">
        <v>1667</v>
      </c>
      <c r="AL669" s="201" t="str">
        <f ca="1">Sprache!$A$111</f>
        <v>Комплект (Л + П)</v>
      </c>
      <c r="AM669" s="203" t="s">
        <v>25</v>
      </c>
      <c r="AN669" s="203" t="str">
        <f ca="1">Sprache!$A$131</f>
        <v>Пружина, черная, двусторонняя</v>
      </c>
      <c r="AO669" s="187" t="s">
        <v>25</v>
      </c>
      <c r="AP669" s="187" t="s">
        <v>25</v>
      </c>
      <c r="AQ669" s="203">
        <f>Limits!$K$9</f>
        <v>200</v>
      </c>
      <c r="AR669" s="201">
        <v>1200</v>
      </c>
      <c r="AS669" s="187"/>
      <c r="AT669" s="124"/>
      <c r="AV669"/>
      <c r="AX669" s="10"/>
      <c r="AY669" s="11"/>
      <c r="AZ669" s="2"/>
      <c r="BC669"/>
    </row>
    <row r="670" spans="1:55" hidden="1" x14ac:dyDescent="0.25">
      <c r="A670" s="12" t="str">
        <f ca="1">IF(F670+G670+H670+I670+J670+D670+E670=3,IF(Tabelle2[[#This Row],[Kappe Weiß]]=Limits!$R$29,1,""),"")</f>
        <v/>
      </c>
      <c r="B670" s="12" t="str">
        <f ca="1">IF(G670+H670+I670+J670+E670+F670=2,IF(Tabelle2[[#This Row],[Kappe Weiß]]=Limits!$R$29,1,""),"")</f>
        <v/>
      </c>
      <c r="C670" s="291">
        <v>1</v>
      </c>
      <c r="D670" s="171">
        <f>IF(Limits!$P$6=TRUE,1,0)</f>
        <v>0</v>
      </c>
      <c r="E670" s="172">
        <f>IF(Daten!$P670+Daten!$Q670+Daten!$S670=3,1,0)</f>
        <v>0</v>
      </c>
      <c r="F670" s="173">
        <f ca="1">IF(AND(Limits!$Q$21=TRUE,Daten!O670=1)=TRUE,1,0)</f>
        <v>0</v>
      </c>
      <c r="G670" s="174">
        <f>IF(AND(Limits!$Q$25=TRUE,Daten!N670=1)=TRUE,1,0)</f>
        <v>0</v>
      </c>
      <c r="H670" s="174">
        <f>IF(AND(Limits!$Q$24=TRUE,Daten!M670=1)=TRUE,1,0)</f>
        <v>0</v>
      </c>
      <c r="I670" s="174">
        <f>IF(AND(Limits!$Q$23=TRUE,Daten!L670=1)=TRUE,1,0)</f>
        <v>0</v>
      </c>
      <c r="J670" s="174">
        <f>IF(AND(Limits!$Q$22=TRUE,Daten!K670=1)=TRUE,1,0)</f>
        <v>0</v>
      </c>
      <c r="K670" s="188">
        <f>IF(Daten!$V670=13,1,0)</f>
        <v>1</v>
      </c>
      <c r="L670" s="189">
        <f>IF(Daten!$V670&lt;&gt;Daten!$W670,1,IF(Daten!$V670=14,1,0))</f>
        <v>0</v>
      </c>
      <c r="M670" s="189">
        <f>IF(Daten!$V670&lt;&gt;Daten!$W670,1,IF(Daten!$V670=16,1,0))</f>
        <v>0</v>
      </c>
      <c r="N670" s="189">
        <f>IF(Daten!$W670=17,1,0)</f>
        <v>0</v>
      </c>
      <c r="O670" s="190">
        <f ca="1">IF(Daten!$X670=Sprache!$A$70,1,0)</f>
        <v>0</v>
      </c>
      <c r="P670" s="191">
        <f>IF(AND(Daten!$AQ670&lt;=KINVARO!$AW$3,Daten!$AR670&gt;=KINVARO!$AW$3)=TRUE,1,0)</f>
        <v>1</v>
      </c>
      <c r="Q670" s="192">
        <f>IF(AND(Daten!$AA670&lt;=KINVARO!$AW$4,Daten!$AB670&gt;=KINVARO!$AW$4)=TRUE,1,0)</f>
        <v>0</v>
      </c>
      <c r="R670" s="192"/>
      <c r="S670" s="192">
        <f>IF(AND(Daten!$AD670&lt;=Limits!$I$70,Daten!$AE670&gt;=Limits!$I$70)=TRUE,1,0)</f>
        <v>0</v>
      </c>
      <c r="T670" s="193">
        <f ca="1">IF(Daten!$Y670=Sprache!$A$135,1,0)</f>
        <v>0</v>
      </c>
      <c r="U670" s="124" t="str">
        <f ca="1">Sprache!$A$68</f>
        <v>T-65 Поворотный подъемник</v>
      </c>
      <c r="V670" s="194">
        <v>13</v>
      </c>
      <c r="W670" s="193">
        <v>13</v>
      </c>
      <c r="X670" s="187" t="str">
        <f ca="1">Sprache!$A$141</f>
        <v>Alu</v>
      </c>
      <c r="Y670" s="187" t="str">
        <f ca="1">Sprache!$A$136</f>
        <v>nein</v>
      </c>
      <c r="Z670" s="187" t="str">
        <f ca="1">Sprache!$A$79</f>
        <v>Створка</v>
      </c>
      <c r="AA670" s="187">
        <v>600</v>
      </c>
      <c r="AB670" s="124">
        <v>600</v>
      </c>
      <c r="AC670" s="187"/>
      <c r="AD670" s="195">
        <v>1.3</v>
      </c>
      <c r="AE670" s="196">
        <v>3.1</v>
      </c>
      <c r="AF670" s="263" t="str">
        <f>MID(Tabelle2[[#This Row],[bnr full]],1,4)</f>
        <v>F151</v>
      </c>
      <c r="AG670" s="264" t="str">
        <f>MID(Tabelle2[[#This Row],[bnr full]],5,3)</f>
        <v>147</v>
      </c>
      <c r="AH670" s="265" t="str">
        <f>MID(Tabelle2[[#This Row],[bnr full]],8,3)</f>
        <v>798</v>
      </c>
      <c r="AI670" s="264" t="str">
        <f>MID(Tabelle2[[#This Row],[bnr full]],11,3)</f>
        <v>201</v>
      </c>
      <c r="AJ670" s="252" t="str">
        <f>MID(Tabelle2[[#This Row],[bnr full]],11,3)</f>
        <v>201</v>
      </c>
      <c r="AK670" s="197" t="s">
        <v>1668</v>
      </c>
      <c r="AL670" s="124" t="str">
        <f ca="1">Sprache!$A$111</f>
        <v>Комплект (Л + П)</v>
      </c>
      <c r="AM670" s="187" t="s">
        <v>25</v>
      </c>
      <c r="AN670" s="187" t="str">
        <f ca="1">Sprache!$A$131</f>
        <v>Пружина, черная, двусторонняя</v>
      </c>
      <c r="AO670" s="187" t="s">
        <v>25</v>
      </c>
      <c r="AP670" s="187" t="s">
        <v>25</v>
      </c>
      <c r="AQ670" s="187">
        <f>Limits!$K$9</f>
        <v>200</v>
      </c>
      <c r="AR670" s="124">
        <v>1200</v>
      </c>
      <c r="AS670" s="187"/>
      <c r="AT670" s="124"/>
      <c r="AV670"/>
      <c r="AX670" s="10"/>
      <c r="AY670" s="11"/>
      <c r="AZ670" s="2"/>
      <c r="BC670"/>
    </row>
    <row r="671" spans="1:55" hidden="1" x14ac:dyDescent="0.25">
      <c r="A671" s="12" t="str">
        <f ca="1">IF(F671+G671+H671+I671+J671+D671+E671=3,IF(Tabelle2[[#This Row],[Kappe Weiß]]=Limits!$R$29,1,""),"")</f>
        <v/>
      </c>
      <c r="B671" s="12" t="str">
        <f ca="1">IF(G671+H671+I671+J671+E671+F671=2,IF(Tabelle2[[#This Row],[Kappe Weiß]]=Limits!$R$29,1,""),"")</f>
        <v/>
      </c>
      <c r="C671" s="291">
        <v>1</v>
      </c>
      <c r="D671" s="171">
        <f>IF(Limits!$P$6=TRUE,1,0)</f>
        <v>0</v>
      </c>
      <c r="E671" s="172">
        <f>IF(Daten!$P671+Daten!$Q671+Daten!$S671=3,1,0)</f>
        <v>0</v>
      </c>
      <c r="F671" s="173">
        <f ca="1">IF(AND(Limits!$Q$21=TRUE,Daten!O671=1)=TRUE,1,0)</f>
        <v>0</v>
      </c>
      <c r="G671" s="174">
        <f>IF(AND(Limits!$Q$25=TRUE,Daten!N671=1)=TRUE,1,0)</f>
        <v>0</v>
      </c>
      <c r="H671" s="174">
        <f>IF(AND(Limits!$Q$24=TRUE,Daten!M671=1)=TRUE,1,0)</f>
        <v>0</v>
      </c>
      <c r="I671" s="174">
        <f>IF(AND(Limits!$Q$23=TRUE,Daten!L671=1)=TRUE,1,0)</f>
        <v>0</v>
      </c>
      <c r="J671" s="174">
        <f>IF(AND(Limits!$Q$22=TRUE,Daten!K671=1)=TRUE,1,0)</f>
        <v>0</v>
      </c>
      <c r="K671" s="188">
        <f>IF(Daten!$V671=13,1,0)</f>
        <v>0</v>
      </c>
      <c r="L671" s="189">
        <f>IF(Daten!$V671&lt;&gt;Daten!$W671,1,IF(Daten!$V671=14,1,0))</f>
        <v>1</v>
      </c>
      <c r="M671" s="189">
        <f>IF(Daten!$V671&lt;&gt;Daten!$W671,1,IF(Daten!$V671=16,1,0))</f>
        <v>0</v>
      </c>
      <c r="N671" s="189">
        <f>IF(Daten!$W671=17,1,0)</f>
        <v>0</v>
      </c>
      <c r="O671" s="190">
        <f ca="1">IF(Daten!$X671=Sprache!$A$70,1,0)</f>
        <v>0</v>
      </c>
      <c r="P671" s="191">
        <f>IF(AND(Daten!$AQ671&lt;=KINVARO!$AW$3,Daten!$AR671&gt;=KINVARO!$AW$3)=TRUE,1,0)</f>
        <v>1</v>
      </c>
      <c r="Q671" s="192">
        <f>IF(AND(Daten!$AA671&lt;=KINVARO!$AW$4,Daten!$AB671&gt;=KINVARO!$AW$4)=TRUE,1,0)</f>
        <v>0</v>
      </c>
      <c r="R671" s="192"/>
      <c r="S671" s="192">
        <f>IF(AND(Daten!$AD671&lt;=Limits!$I$70,Daten!$AE671&gt;=Limits!$I$70)=TRUE,1,0)</f>
        <v>0</v>
      </c>
      <c r="T671" s="193">
        <f ca="1">IF(Daten!$Y671=Sprache!$A$135,1,0)</f>
        <v>0</v>
      </c>
      <c r="U671" s="124" t="str">
        <f ca="1">Sprache!$A$68</f>
        <v>T-65 Поворотный подъемник</v>
      </c>
      <c r="V671" s="194">
        <v>14</v>
      </c>
      <c r="W671" s="193">
        <v>14</v>
      </c>
      <c r="X671" s="187" t="str">
        <f ca="1">Sprache!$A$141</f>
        <v>Alu</v>
      </c>
      <c r="Y671" s="187" t="str">
        <f ca="1">Sprache!$A$136</f>
        <v>nein</v>
      </c>
      <c r="Z671" s="187" t="str">
        <f ca="1">Sprache!$A$79</f>
        <v>Створка</v>
      </c>
      <c r="AA671" s="187">
        <v>600</v>
      </c>
      <c r="AB671" s="124">
        <v>600</v>
      </c>
      <c r="AC671" s="187"/>
      <c r="AD671" s="195">
        <v>1.3</v>
      </c>
      <c r="AE671" s="196">
        <v>3.1</v>
      </c>
      <c r="AF671" s="263" t="str">
        <f>MID(Tabelle2[[#This Row],[bnr full]],1,4)</f>
        <v>F151</v>
      </c>
      <c r="AG671" s="264" t="str">
        <f>MID(Tabelle2[[#This Row],[bnr full]],5,3)</f>
        <v>147</v>
      </c>
      <c r="AH671" s="265" t="str">
        <f>MID(Tabelle2[[#This Row],[bnr full]],8,3)</f>
        <v>799</v>
      </c>
      <c r="AI671" s="264" t="str">
        <f>MID(Tabelle2[[#This Row],[bnr full]],11,3)</f>
        <v>201</v>
      </c>
      <c r="AJ671" s="252" t="str">
        <f>MID(Tabelle2[[#This Row],[bnr full]],11,3)</f>
        <v>201</v>
      </c>
      <c r="AK671" s="197" t="s">
        <v>1669</v>
      </c>
      <c r="AL671" s="124" t="str">
        <f ca="1">Sprache!$A$111</f>
        <v>Комплект (Л + П)</v>
      </c>
      <c r="AM671" s="187" t="s">
        <v>25</v>
      </c>
      <c r="AN671" s="187" t="str">
        <f ca="1">Sprache!$A$131</f>
        <v>Пружина, черная, двусторонняя</v>
      </c>
      <c r="AO671" s="187" t="s">
        <v>25</v>
      </c>
      <c r="AP671" s="187" t="s">
        <v>25</v>
      </c>
      <c r="AQ671" s="187">
        <f>Limits!$K$9</f>
        <v>200</v>
      </c>
      <c r="AR671" s="124">
        <v>1200</v>
      </c>
      <c r="AS671" s="187"/>
      <c r="AT671" s="124"/>
      <c r="AV671"/>
      <c r="AX671" s="10"/>
      <c r="AY671" s="11"/>
      <c r="AZ671" s="2"/>
      <c r="BC671"/>
    </row>
    <row r="672" spans="1:55" hidden="1" x14ac:dyDescent="0.25">
      <c r="A672" s="12" t="str">
        <f ca="1">IF(F672+G672+H672+I672+J672+D672+E672=3,IF(Tabelle2[[#This Row],[Kappe Weiß]]=Limits!$R$29,1,""),"")</f>
        <v/>
      </c>
      <c r="B672" s="12" t="str">
        <f ca="1">IF(G672+H672+I672+J672+E672+F672=2,IF(Tabelle2[[#This Row],[Kappe Weiß]]=Limits!$R$29,1,""),"")</f>
        <v/>
      </c>
      <c r="C672" s="291">
        <v>1</v>
      </c>
      <c r="D672" s="171">
        <f>IF(Limits!$P$6=TRUE,1,0)</f>
        <v>0</v>
      </c>
      <c r="E672" s="172">
        <f>IF(Daten!$P672+Daten!$Q672+Daten!$S672=3,1,0)</f>
        <v>0</v>
      </c>
      <c r="F672" s="173">
        <f ca="1">IF(AND(Limits!$Q$21=TRUE,Daten!O672=1)=TRUE,1,0)</f>
        <v>0</v>
      </c>
      <c r="G672" s="174">
        <f>IF(AND(Limits!$Q$25=TRUE,Daten!N672=1)=TRUE,1,0)</f>
        <v>0</v>
      </c>
      <c r="H672" s="174">
        <f>IF(AND(Limits!$Q$24=TRUE,Daten!M672=1)=TRUE,1,0)</f>
        <v>0</v>
      </c>
      <c r="I672" s="174">
        <f>IF(AND(Limits!$Q$23=TRUE,Daten!L672=1)=TRUE,1,0)</f>
        <v>0</v>
      </c>
      <c r="J672" s="174">
        <f>IF(AND(Limits!$Q$22=TRUE,Daten!K672=1)=TRUE,1,0)</f>
        <v>0</v>
      </c>
      <c r="K672" s="188">
        <f>IF(Daten!$V672=13,1,0)</f>
        <v>0</v>
      </c>
      <c r="L672" s="189">
        <f>IF(Daten!$V672&lt;&gt;Daten!$W672,1,IF(Daten!$V672=14,1,0))</f>
        <v>0</v>
      </c>
      <c r="M672" s="189">
        <f>IF(Daten!$V672&lt;&gt;Daten!$W672,1,IF(Daten!$V672=16,1,0))</f>
        <v>1</v>
      </c>
      <c r="N672" s="189">
        <f>IF(Daten!$W672=17,1,0)</f>
        <v>0</v>
      </c>
      <c r="O672" s="190">
        <f ca="1">IF(Daten!$X672=Sprache!$A$70,1,0)</f>
        <v>0</v>
      </c>
      <c r="P672" s="191">
        <f>IF(AND(Daten!$AQ672&lt;=KINVARO!$AW$3,Daten!$AR672&gt;=KINVARO!$AW$3)=TRUE,1,0)</f>
        <v>1</v>
      </c>
      <c r="Q672" s="192">
        <f>IF(AND(Daten!$AA672&lt;=KINVARO!$AW$4,Daten!$AB672&gt;=KINVARO!$AW$4)=TRUE,1,0)</f>
        <v>0</v>
      </c>
      <c r="R672" s="192"/>
      <c r="S672" s="192">
        <f>IF(AND(Daten!$AD672&lt;=Limits!$I$70,Daten!$AE672&gt;=Limits!$I$70)=TRUE,1,0)</f>
        <v>0</v>
      </c>
      <c r="T672" s="193">
        <f ca="1">IF(Daten!$Y672=Sprache!$A$135,1,0)</f>
        <v>0</v>
      </c>
      <c r="U672" s="124" t="str">
        <f ca="1">Sprache!$A$68</f>
        <v>T-65 Поворотный подъемник</v>
      </c>
      <c r="V672" s="194">
        <v>16</v>
      </c>
      <c r="W672" s="193">
        <v>16</v>
      </c>
      <c r="X672" s="187" t="str">
        <f ca="1">Sprache!$A$141</f>
        <v>Alu</v>
      </c>
      <c r="Y672" s="187" t="str">
        <f ca="1">Sprache!$A$136</f>
        <v>nein</v>
      </c>
      <c r="Z672" s="187" t="str">
        <f ca="1">Sprache!$A$79</f>
        <v>Створка</v>
      </c>
      <c r="AA672" s="187">
        <v>600</v>
      </c>
      <c r="AB672" s="124">
        <v>600</v>
      </c>
      <c r="AC672" s="187"/>
      <c r="AD672" s="195">
        <v>1.3</v>
      </c>
      <c r="AE672" s="196">
        <v>3.1</v>
      </c>
      <c r="AF672" s="263" t="str">
        <f>MID(Tabelle2[[#This Row],[bnr full]],1,4)</f>
        <v>F151</v>
      </c>
      <c r="AG672" s="264" t="str">
        <f>MID(Tabelle2[[#This Row],[bnr full]],5,3)</f>
        <v>147</v>
      </c>
      <c r="AH672" s="265" t="str">
        <f>MID(Tabelle2[[#This Row],[bnr full]],8,3)</f>
        <v>800</v>
      </c>
      <c r="AI672" s="264" t="str">
        <f>MID(Tabelle2[[#This Row],[bnr full]],11,3)</f>
        <v>201</v>
      </c>
      <c r="AJ672" s="252" t="str">
        <f>MID(Tabelle2[[#This Row],[bnr full]],11,3)</f>
        <v>201</v>
      </c>
      <c r="AK672" s="197" t="s">
        <v>1670</v>
      </c>
      <c r="AL672" s="124" t="str">
        <f ca="1">Sprache!$A$111</f>
        <v>Комплект (Л + П)</v>
      </c>
      <c r="AM672" s="187" t="s">
        <v>25</v>
      </c>
      <c r="AN672" s="187" t="str">
        <f ca="1">Sprache!$A$131</f>
        <v>Пружина, черная, двусторонняя</v>
      </c>
      <c r="AO672" s="187" t="s">
        <v>25</v>
      </c>
      <c r="AP672" s="187" t="s">
        <v>25</v>
      </c>
      <c r="AQ672" s="187">
        <f>Limits!$K$9</f>
        <v>200</v>
      </c>
      <c r="AR672" s="124">
        <v>1200</v>
      </c>
      <c r="AS672" s="187"/>
      <c r="AT672" s="124"/>
      <c r="AV672"/>
      <c r="AX672" s="10"/>
      <c r="AY672" s="11"/>
      <c r="AZ672" s="2"/>
      <c r="BC672"/>
    </row>
    <row r="673" spans="1:55" hidden="1" x14ac:dyDescent="0.25">
      <c r="A673" s="12" t="str">
        <f ca="1">IF(F673+G673+H673+I673+J673+D673+E673=3,IF(Tabelle2[[#This Row],[Kappe Weiß]]=Limits!$R$29,1,""),"")</f>
        <v/>
      </c>
      <c r="B673" s="12" t="str">
        <f ca="1">IF(G673+H673+I673+J673+E673+F673=2,IF(Tabelle2[[#This Row],[Kappe Weiß]]=Limits!$R$29,1,""),"")</f>
        <v/>
      </c>
      <c r="C673" s="291">
        <v>1</v>
      </c>
      <c r="D673" s="207">
        <f>IF(Limits!$P$6=TRUE,1,0)</f>
        <v>0</v>
      </c>
      <c r="E673" s="172">
        <f>IF(Daten!$P673+Daten!$Q673+Daten!$S673=3,1,0)</f>
        <v>0</v>
      </c>
      <c r="F673" s="173">
        <f ca="1">IF(AND(Limits!$Q$21=TRUE,Daten!O673=1)=TRUE,1,0)</f>
        <v>0</v>
      </c>
      <c r="G673" s="174">
        <f>IF(AND(Limits!$Q$25=TRUE,Daten!N673=1)=TRUE,1,0)</f>
        <v>0</v>
      </c>
      <c r="H673" s="174">
        <f>IF(AND(Limits!$Q$24=TRUE,Daten!M673=1)=TRUE,1,0)</f>
        <v>0</v>
      </c>
      <c r="I673" s="174">
        <f>IF(AND(Limits!$Q$23=TRUE,Daten!L673=1)=TRUE,1,0)</f>
        <v>0</v>
      </c>
      <c r="J673" s="174">
        <f>IF(AND(Limits!$Q$22=TRUE,Daten!K673=1)=TRUE,1,0)</f>
        <v>0</v>
      </c>
      <c r="K673" s="188">
        <f>IF(Daten!$V673=13,1,0)</f>
        <v>0</v>
      </c>
      <c r="L673" s="189">
        <f>IF(Daten!$V673&lt;&gt;Daten!$W673,1,IF(Daten!$V673=14,1,0))</f>
        <v>0</v>
      </c>
      <c r="M673" s="189">
        <f>IF(Daten!$V673&lt;&gt;Daten!$W673,1,IF(Daten!$V673=16,1,0))</f>
        <v>0</v>
      </c>
      <c r="N673" s="189">
        <f>IF(Daten!$W673=17,1,0)</f>
        <v>1</v>
      </c>
      <c r="O673" s="190">
        <f ca="1">IF(Daten!$X673=Sprache!$A$70,1,0)</f>
        <v>0</v>
      </c>
      <c r="P673" s="191">
        <f>IF(AND(Daten!$AQ673&lt;=KINVARO!$AW$3,Daten!$AR673&gt;=KINVARO!$AW$3)=TRUE,1,0)</f>
        <v>1</v>
      </c>
      <c r="Q673" s="192">
        <f>IF(AND(Daten!$AA673&lt;=KINVARO!$AW$4,Daten!$AB673&gt;=KINVARO!$AW$4)=TRUE,1,0)</f>
        <v>0</v>
      </c>
      <c r="R673" s="192"/>
      <c r="S673" s="192">
        <f>IF(AND(Daten!$AD673&lt;=Limits!$I$70,Daten!$AE673&gt;=Limits!$I$70)=TRUE,1,0)</f>
        <v>0</v>
      </c>
      <c r="T673" s="193">
        <f ca="1">IF(Daten!$Y673=Sprache!$A$135,1,0)</f>
        <v>0</v>
      </c>
      <c r="U673" s="124" t="str">
        <f ca="1">Sprache!$A$68</f>
        <v>T-65 Поворотный подъемник</v>
      </c>
      <c r="V673" s="194">
        <v>17</v>
      </c>
      <c r="W673" s="193">
        <v>17</v>
      </c>
      <c r="X673" s="187" t="str">
        <f ca="1">Sprache!$A$141</f>
        <v>Alu</v>
      </c>
      <c r="Y673" s="187" t="str">
        <f ca="1">Sprache!$A$136</f>
        <v>nein</v>
      </c>
      <c r="Z673" s="187" t="str">
        <f ca="1">Sprache!$A$79</f>
        <v>Створка</v>
      </c>
      <c r="AA673" s="187">
        <v>600</v>
      </c>
      <c r="AB673" s="124">
        <v>600</v>
      </c>
      <c r="AC673" s="187"/>
      <c r="AD673" s="195">
        <v>1.3</v>
      </c>
      <c r="AE673" s="196">
        <v>3.1</v>
      </c>
      <c r="AF673" s="263" t="str">
        <f>MID(Tabelle2[[#This Row],[bnr full]],1,4)</f>
        <v>F151</v>
      </c>
      <c r="AG673" s="264" t="str">
        <f>MID(Tabelle2[[#This Row],[bnr full]],5,3)</f>
        <v>147</v>
      </c>
      <c r="AH673" s="265" t="str">
        <f>MID(Tabelle2[[#This Row],[bnr full]],8,3)</f>
        <v>801</v>
      </c>
      <c r="AI673" s="264" t="str">
        <f>MID(Tabelle2[[#This Row],[bnr full]],11,3)</f>
        <v>201</v>
      </c>
      <c r="AJ673" s="252" t="str">
        <f>MID(Tabelle2[[#This Row],[bnr full]],11,3)</f>
        <v>201</v>
      </c>
      <c r="AK673" s="197" t="s">
        <v>1671</v>
      </c>
      <c r="AL673" s="124" t="str">
        <f ca="1">Sprache!$A$111</f>
        <v>Комплект (Л + П)</v>
      </c>
      <c r="AM673" s="187" t="s">
        <v>25</v>
      </c>
      <c r="AN673" s="187" t="str">
        <f ca="1">Sprache!$A$131</f>
        <v>Пружина, черная, двусторонняя</v>
      </c>
      <c r="AO673" s="187" t="s">
        <v>25</v>
      </c>
      <c r="AP673" s="187" t="s">
        <v>25</v>
      </c>
      <c r="AQ673" s="187">
        <f>Limits!$K$9</f>
        <v>200</v>
      </c>
      <c r="AR673" s="124">
        <v>1200</v>
      </c>
      <c r="AS673" s="187"/>
      <c r="AT673" s="124"/>
      <c r="AV673"/>
      <c r="AX673" s="10"/>
      <c r="AY673" s="11"/>
      <c r="AZ673" s="2"/>
      <c r="BC673"/>
    </row>
    <row r="674" spans="1:55" ht="15.75" hidden="1" thickTop="1" x14ac:dyDescent="0.25">
      <c r="A674" s="12" t="str">
        <f ca="1">IF(F674+G674+H674+I674+J674+D674+E674=3,IF(Tabelle2[[#This Row],[Kappe Weiß]]=Limits!$R$29,1,""),"")</f>
        <v/>
      </c>
      <c r="B674" s="12" t="str">
        <f ca="1">IF(G674+H674+I674+J674+E674+F674=2,IF(Tabelle2[[#This Row],[Kappe Weiß]]=Limits!$R$29,1,""),"")</f>
        <v/>
      </c>
      <c r="C674" s="293">
        <v>0</v>
      </c>
      <c r="D674" s="171">
        <f>IF(Limits!$P$5=TRUE,1,0)</f>
        <v>0</v>
      </c>
      <c r="E674" s="172">
        <f>IF(Daten!$P674+Daten!$Q674+Daten!$S674=3,1,0)</f>
        <v>0</v>
      </c>
      <c r="F674" s="173">
        <f ca="1">IF(AND(Limits!$Q$21=TRUE,Daten!O674=1)=TRUE,1,0)</f>
        <v>1</v>
      </c>
      <c r="G674" s="174">
        <f ca="1">IF(AND(Limits!$Q$25=TRUE,Daten!N674=1)=TRUE,1,0)</f>
        <v>0</v>
      </c>
      <c r="H674" s="174">
        <f ca="1">IF(AND(Limits!$Q$24=TRUE,Daten!M674=1)=TRUE,1,0)</f>
        <v>0</v>
      </c>
      <c r="I674" s="174">
        <f ca="1">IF(AND(Limits!$Q$23=TRUE,Daten!L674=1)=TRUE,1,0)</f>
        <v>0</v>
      </c>
      <c r="J674" s="174">
        <f ca="1">IF(AND(Limits!$Q$22=TRUE,Daten!K674=1)=TRUE,1,0)</f>
        <v>0</v>
      </c>
      <c r="K674" s="188">
        <f ca="1">IF(Daten!$V674=13,1,0)</f>
        <v>0</v>
      </c>
      <c r="L674" s="189">
        <f ca="1">IF(Daten!$V674&lt;&gt;Daten!$W674,1,IF(Daten!$V674=14,1,0))</f>
        <v>0</v>
      </c>
      <c r="M674" s="189">
        <f ca="1">IF(Daten!$V674&lt;&gt;Daten!$W674,1,IF(Daten!$V674=16,1,0))</f>
        <v>0</v>
      </c>
      <c r="N674" s="189">
        <f ca="1">IF(Daten!$W674=17,1,0)</f>
        <v>0</v>
      </c>
      <c r="O674" s="190">
        <f ca="1">IF(Daten!$X674=Sprache!$A$70,1,0)</f>
        <v>1</v>
      </c>
      <c r="P674" s="208">
        <f>IF(AND(Daten!$AQ674&lt;=KINVARO!$AW$3,Daten!$AR674&gt;=KINVARO!$AW$3)=TRUE,1,0)</f>
        <v>1</v>
      </c>
      <c r="Q674" s="209">
        <f>IF(AND(Daten!$AA674&lt;=KINVARO!$AW$4,Daten!$AB674&gt;=KINVARO!$AW$4)=TRUE,1,0)</f>
        <v>0</v>
      </c>
      <c r="R674" s="209"/>
      <c r="S674" s="209">
        <f>IF(AND(Daten!$AD674&lt;=Limits!$I$70,Daten!$AE674&gt;=Limits!$I$70)=TRUE,1,0)</f>
        <v>0</v>
      </c>
      <c r="T674" s="210">
        <f ca="1">IF(Daten!$Y674=Sprache!$A$135,1,0)</f>
        <v>0</v>
      </c>
      <c r="U674" s="211" t="str">
        <f ca="1">Sprache!$A$69</f>
        <v>S-35 Откидной подъемник</v>
      </c>
      <c r="V674" s="212" t="str">
        <f ca="1">Sprache!$A$74</f>
        <v>var</v>
      </c>
      <c r="W674" s="210" t="str">
        <f ca="1">Sprache!$A$74</f>
        <v>var</v>
      </c>
      <c r="X674" s="213" t="str">
        <f ca="1">Sprache!$A$70</f>
        <v>соединение с древесиной</v>
      </c>
      <c r="Y674" s="187" t="str">
        <f ca="1">Sprache!$A$136</f>
        <v>nein</v>
      </c>
      <c r="Z674" s="213" t="str">
        <f ca="1">Sprache!$A$79</f>
        <v>Створка</v>
      </c>
      <c r="AA674" s="213">
        <v>420</v>
      </c>
      <c r="AB674" s="211">
        <v>449</v>
      </c>
      <c r="AC674" s="213"/>
      <c r="AD674" s="214">
        <v>1.5</v>
      </c>
      <c r="AE674" s="215">
        <v>7.5</v>
      </c>
      <c r="AF674" s="269" t="str">
        <f>MID(Tabelle2[[#This Row],[bnr full]],1,4)</f>
        <v>F152</v>
      </c>
      <c r="AG674" s="270" t="str">
        <f>MID(Tabelle2[[#This Row],[bnr full]],5,3)</f>
        <v>000</v>
      </c>
      <c r="AH674" s="271" t="str">
        <f>MID(Tabelle2[[#This Row],[bnr full]],8,3)</f>
        <v>255</v>
      </c>
      <c r="AI674" s="270" t="str">
        <f>MID(Tabelle2[[#This Row],[bnr full]],11,3)</f>
        <v>201</v>
      </c>
      <c r="AJ674" s="254" t="str">
        <f>MID(Tabelle2[[#This Row],[bnr full]],11,3)</f>
        <v>201</v>
      </c>
      <c r="AK674" s="216" t="s">
        <v>809</v>
      </c>
      <c r="AL674" s="211" t="str">
        <f ca="1">Sprache!$A$111</f>
        <v>Комплект (Л + П)</v>
      </c>
      <c r="AM674" s="213" t="s">
        <v>25</v>
      </c>
      <c r="AN674" s="213" t="str">
        <f ca="1">Sprache!$A$120</f>
        <v>Силовой механизм A</v>
      </c>
      <c r="AO674" s="187" t="s">
        <v>25</v>
      </c>
      <c r="AP674" s="187" t="s">
        <v>25</v>
      </c>
      <c r="AQ674" s="213">
        <v>450</v>
      </c>
      <c r="AR674" s="124">
        <v>1200</v>
      </c>
      <c r="AS674" s="187"/>
      <c r="AT674" s="124"/>
      <c r="AV674"/>
      <c r="AX674" s="10"/>
      <c r="AY674" s="11"/>
      <c r="AZ674" s="2"/>
      <c r="BC674"/>
    </row>
    <row r="675" spans="1:55" hidden="1" x14ac:dyDescent="0.25">
      <c r="A675" s="12" t="str">
        <f ca="1">IF(F675+G675+H675+I675+J675+D675+E675=3,IF(Tabelle2[[#This Row],[Kappe Weiß]]=Limits!$R$29,1,""),"")</f>
        <v/>
      </c>
      <c r="B675" s="12" t="str">
        <f ca="1">IF(G675+H675+I675+J675+E675+F675=2,IF(Tabelle2[[#This Row],[Kappe Weiß]]=Limits!$R$29,1,""),"")</f>
        <v/>
      </c>
      <c r="C675" s="291">
        <v>0</v>
      </c>
      <c r="D675" s="171">
        <f>IF(Limits!$P$5=TRUE,1,0)</f>
        <v>0</v>
      </c>
      <c r="E675" s="172">
        <f>IF(Daten!$P675+Daten!$Q675+Daten!$S675=3,1,0)</f>
        <v>0</v>
      </c>
      <c r="F675" s="173">
        <f ca="1">IF(AND(Limits!$Q$21=TRUE,Daten!O675=1)=TRUE,1,0)</f>
        <v>1</v>
      </c>
      <c r="G675" s="174">
        <f ca="1">IF(AND(Limits!$Q$25=TRUE,Daten!N675=1)=TRUE,1,0)</f>
        <v>0</v>
      </c>
      <c r="H675" s="174">
        <f ca="1">IF(AND(Limits!$Q$24=TRUE,Daten!M675=1)=TRUE,1,0)</f>
        <v>0</v>
      </c>
      <c r="I675" s="174">
        <f ca="1">IF(AND(Limits!$Q$23=TRUE,Daten!L675=1)=TRUE,1,0)</f>
        <v>0</v>
      </c>
      <c r="J675" s="174">
        <f ca="1">IF(AND(Limits!$Q$22=TRUE,Daten!K675=1)=TRUE,1,0)</f>
        <v>0</v>
      </c>
      <c r="K675" s="188">
        <f ca="1">IF(Daten!$V675=13,1,0)</f>
        <v>0</v>
      </c>
      <c r="L675" s="189">
        <f ca="1">IF(Daten!$V675&lt;&gt;Daten!$W675,1,IF(Daten!$V675=14,1,0))</f>
        <v>0</v>
      </c>
      <c r="M675" s="189">
        <f ca="1">IF(Daten!$V675&lt;&gt;Daten!$W675,1,IF(Daten!$V675=16,1,0))</f>
        <v>0</v>
      </c>
      <c r="N675" s="189">
        <f ca="1">IF(Daten!$W675=17,1,0)</f>
        <v>0</v>
      </c>
      <c r="O675" s="190">
        <f ca="1">IF(Daten!$X675=Sprache!$A$70,1,0)</f>
        <v>1</v>
      </c>
      <c r="P675" s="191">
        <f>IF(AND(Daten!$AQ675&lt;=KINVARO!$AW$3,Daten!$AR675&gt;=KINVARO!$AW$3)=TRUE,1,0)</f>
        <v>1</v>
      </c>
      <c r="Q675" s="192">
        <f>IF(AND(Daten!$AA675&lt;=KINVARO!$AW$4,Daten!$AB675&gt;=KINVARO!$AW$4)=TRUE,1,0)</f>
        <v>0</v>
      </c>
      <c r="R675" s="192"/>
      <c r="S675" s="192">
        <f>IF(AND(Daten!$AD675&lt;=Limits!$I$70,Daten!$AE675&gt;=Limits!$I$70)=TRUE,1,0)</f>
        <v>1</v>
      </c>
      <c r="T675" s="193">
        <f ca="1">IF(Daten!$Y675=Sprache!$A$135,1,0)</f>
        <v>0</v>
      </c>
      <c r="U675" s="124" t="str">
        <f ca="1">Sprache!$A$69</f>
        <v>S-35 Откидной подъемник</v>
      </c>
      <c r="V675" s="194" t="str">
        <f ca="1">Sprache!$A$74</f>
        <v>var</v>
      </c>
      <c r="W675" s="193" t="str">
        <f ca="1">Sprache!$A$74</f>
        <v>var</v>
      </c>
      <c r="X675" s="187" t="str">
        <f ca="1">Sprache!$A$70</f>
        <v>соединение с древесиной</v>
      </c>
      <c r="Y675" s="187" t="str">
        <f ca="1">Sprache!$A$136</f>
        <v>nein</v>
      </c>
      <c r="Z675" s="187" t="str">
        <f ca="1">Sprache!$A$79</f>
        <v>Створка</v>
      </c>
      <c r="AA675" s="187">
        <v>420</v>
      </c>
      <c r="AB675" s="124">
        <v>449</v>
      </c>
      <c r="AC675" s="187"/>
      <c r="AD675" s="195">
        <v>5</v>
      </c>
      <c r="AE675" s="196">
        <v>11</v>
      </c>
      <c r="AF675" s="263" t="str">
        <f>MID(Tabelle2[[#This Row],[bnr full]],1,4)</f>
        <v>F152</v>
      </c>
      <c r="AG675" s="264" t="str">
        <f>MID(Tabelle2[[#This Row],[bnr full]],5,3)</f>
        <v>000</v>
      </c>
      <c r="AH675" s="265" t="str">
        <f>MID(Tabelle2[[#This Row],[bnr full]],8,3)</f>
        <v>256</v>
      </c>
      <c r="AI675" s="264" t="str">
        <f>MID(Tabelle2[[#This Row],[bnr full]],11,3)</f>
        <v>201</v>
      </c>
      <c r="AJ675" s="252" t="str">
        <f>MID(Tabelle2[[#This Row],[bnr full]],11,3)</f>
        <v>201</v>
      </c>
      <c r="AK675" s="197" t="s">
        <v>810</v>
      </c>
      <c r="AL675" s="124" t="str">
        <f ca="1">Sprache!$A$111</f>
        <v>Комплект (Л + П)</v>
      </c>
      <c r="AM675" s="187" t="s">
        <v>25</v>
      </c>
      <c r="AN675" s="187" t="str">
        <f ca="1">Sprache!$A$121</f>
        <v>Силовой механизм B</v>
      </c>
      <c r="AO675" s="187" t="s">
        <v>25</v>
      </c>
      <c r="AP675" s="187" t="s">
        <v>25</v>
      </c>
      <c r="AQ675" s="187">
        <v>450</v>
      </c>
      <c r="AR675" s="124">
        <v>1200</v>
      </c>
      <c r="AS675" s="187"/>
      <c r="AT675" s="124"/>
      <c r="AV675"/>
      <c r="AX675" s="10"/>
      <c r="AY675" s="11"/>
      <c r="AZ675" s="2"/>
      <c r="BC675"/>
    </row>
    <row r="676" spans="1:55" hidden="1" x14ac:dyDescent="0.25">
      <c r="A676" s="12" t="str">
        <f ca="1">IF(F676+G676+H676+I676+J676+D676+E676=3,IF(Tabelle2[[#This Row],[Kappe Weiß]]=Limits!$R$29,1,""),"")</f>
        <v/>
      </c>
      <c r="B676" s="12" t="str">
        <f ca="1">IF(G676+H676+I676+J676+E676+F676=2,IF(Tabelle2[[#This Row],[Kappe Weiß]]=Limits!$R$29,1,""),"")</f>
        <v/>
      </c>
      <c r="C676" s="291">
        <v>0</v>
      </c>
      <c r="D676" s="171">
        <f>IF(Limits!$P$5=TRUE,1,0)</f>
        <v>0</v>
      </c>
      <c r="E676" s="172">
        <f>IF(Daten!$P676+Daten!$Q676+Daten!$S676=3,1,0)</f>
        <v>0</v>
      </c>
      <c r="F676" s="173">
        <f ca="1">IF(AND(Limits!$Q$21=TRUE,Daten!O676=1)=TRUE,1,0)</f>
        <v>0</v>
      </c>
      <c r="G676" s="174">
        <f>IF(AND(Limits!$Q$25=TRUE,Daten!N676=1)=TRUE,1,0)</f>
        <v>0</v>
      </c>
      <c r="H676" s="174">
        <f>IF(AND(Limits!$Q$24=TRUE,Daten!M676=1)=TRUE,1,0)</f>
        <v>0</v>
      </c>
      <c r="I676" s="174">
        <f>IF(AND(Limits!$Q$23=TRUE,Daten!L676=1)=TRUE,1,0)</f>
        <v>0</v>
      </c>
      <c r="J676" s="174">
        <f>IF(AND(Limits!$Q$22=TRUE,Daten!K676=1)=TRUE,1,0)</f>
        <v>0</v>
      </c>
      <c r="K676" s="188">
        <f>IF(Daten!$V676=13,1,0)</f>
        <v>1</v>
      </c>
      <c r="L676" s="189">
        <f>IF(Daten!$V676&lt;&gt;Daten!$W676,1,IF(Daten!$V676=14,1,0))</f>
        <v>1</v>
      </c>
      <c r="M676" s="189">
        <f>IF(Daten!$V676&lt;&gt;Daten!$W676,1,IF(Daten!$V676=16,1,0))</f>
        <v>1</v>
      </c>
      <c r="N676" s="189">
        <f>IF(Daten!$W676=17,1,0)</f>
        <v>1</v>
      </c>
      <c r="O676" s="190">
        <f ca="1">IF(Daten!$X676=Sprache!$A$70,1,0)</f>
        <v>0</v>
      </c>
      <c r="P676" s="191">
        <f>IF(AND(Daten!$AQ676&lt;=KINVARO!$AW$3,Daten!$AR676&gt;=KINVARO!$AW$3)=TRUE,1,0)</f>
        <v>1</v>
      </c>
      <c r="Q676" s="192">
        <f>IF(AND(Daten!$AA676&lt;=KINVARO!$AW$4,Daten!$AB676&gt;=KINVARO!$AW$4)=TRUE,1,0)</f>
        <v>0</v>
      </c>
      <c r="R676" s="192"/>
      <c r="S676" s="192">
        <f>IF(AND(Daten!$AD676&lt;=Limits!$I$70,Daten!$AE676&gt;=Limits!$I$70)=TRUE,1,0)</f>
        <v>0</v>
      </c>
      <c r="T676" s="193">
        <f ca="1">IF(Daten!$Y676=Sprache!$A$135,1,0)</f>
        <v>0</v>
      </c>
      <c r="U676" s="124" t="str">
        <f ca="1">Sprache!$A$69</f>
        <v>S-35 Откидной подъемник</v>
      </c>
      <c r="V676" s="194">
        <v>13</v>
      </c>
      <c r="W676" s="193">
        <v>17</v>
      </c>
      <c r="X676" s="187" t="str">
        <f ca="1">Sprache!$A$142</f>
        <v>Alu (Rahmen 19mm)</v>
      </c>
      <c r="Y676" s="187" t="str">
        <f ca="1">Sprache!$A$136</f>
        <v>nein</v>
      </c>
      <c r="Z676" s="187" t="str">
        <f ca="1">Sprache!$A$79</f>
        <v>Створка</v>
      </c>
      <c r="AA676" s="187">
        <v>420</v>
      </c>
      <c r="AB676" s="124">
        <v>449</v>
      </c>
      <c r="AC676" s="187"/>
      <c r="AD676" s="195">
        <v>1.5</v>
      </c>
      <c r="AE676" s="196">
        <v>7.5</v>
      </c>
      <c r="AF676" s="263" t="str">
        <f>MID(Tabelle2[[#This Row],[bnr full]],1,4)</f>
        <v>F152</v>
      </c>
      <c r="AG676" s="264" t="str">
        <f>MID(Tabelle2[[#This Row],[bnr full]],5,3)</f>
        <v>000</v>
      </c>
      <c r="AH676" s="265" t="str">
        <f>MID(Tabelle2[[#This Row],[bnr full]],8,3)</f>
        <v>255</v>
      </c>
      <c r="AI676" s="264" t="str">
        <f>MID(Tabelle2[[#This Row],[bnr full]],11,3)</f>
        <v>201</v>
      </c>
      <c r="AJ676" s="252" t="str">
        <f>MID(Tabelle2[[#This Row],[bnr full]],11,3)</f>
        <v>201</v>
      </c>
      <c r="AK676" s="197" t="s">
        <v>809</v>
      </c>
      <c r="AL676" s="124" t="str">
        <f ca="1">Sprache!$A$111</f>
        <v>Комплект (Л + П)</v>
      </c>
      <c r="AM676" s="187" t="s">
        <v>25</v>
      </c>
      <c r="AN676" s="187" t="str">
        <f ca="1">Sprache!$A$120</f>
        <v>Силовой механизм A</v>
      </c>
      <c r="AO676" s="187" t="str">
        <f ca="1">Sprache!$A$147</f>
        <v>Адаптер под алюминиевые рамки к комплекту Kinvaro S-35</v>
      </c>
      <c r="AP676" s="187" t="s">
        <v>822</v>
      </c>
      <c r="AQ676" s="187">
        <v>450</v>
      </c>
      <c r="AR676" s="124">
        <v>1200</v>
      </c>
      <c r="AS676" s="187"/>
      <c r="AT676" s="124"/>
      <c r="AV676"/>
      <c r="AX676" s="10"/>
      <c r="AY676" s="11"/>
      <c r="AZ676" s="2"/>
      <c r="BC676"/>
    </row>
    <row r="677" spans="1:55" hidden="1" x14ac:dyDescent="0.25">
      <c r="A677" s="12" t="str">
        <f ca="1">IF(F677+G677+H677+I677+J677+D677+E677=3,IF(Tabelle2[[#This Row],[Kappe Weiß]]=Limits!$R$29,1,""),"")</f>
        <v/>
      </c>
      <c r="B677" s="12" t="str">
        <f ca="1">IF(G677+H677+I677+J677+E677+F677=2,IF(Tabelle2[[#This Row],[Kappe Weiß]]=Limits!$R$29,1,""),"")</f>
        <v/>
      </c>
      <c r="C677" s="291">
        <v>0</v>
      </c>
      <c r="D677" s="171">
        <f>IF(Limits!$P$5=TRUE,1,0)</f>
        <v>0</v>
      </c>
      <c r="E677" s="172">
        <f>IF(Daten!$P677+Daten!$Q677+Daten!$S677=3,1,0)</f>
        <v>0</v>
      </c>
      <c r="F677" s="173">
        <f ca="1">IF(AND(Limits!$Q$21=TRUE,Daten!O677=1)=TRUE,1,0)</f>
        <v>0</v>
      </c>
      <c r="G677" s="174">
        <f>IF(AND(Limits!$Q$25=TRUE,Daten!N677=1)=TRUE,1,0)</f>
        <v>0</v>
      </c>
      <c r="H677" s="174">
        <f>IF(AND(Limits!$Q$24=TRUE,Daten!M677=1)=TRUE,1,0)</f>
        <v>0</v>
      </c>
      <c r="I677" s="174">
        <f>IF(AND(Limits!$Q$23=TRUE,Daten!L677=1)=TRUE,1,0)</f>
        <v>0</v>
      </c>
      <c r="J677" s="174">
        <f>IF(AND(Limits!$Q$22=TRUE,Daten!K677=1)=TRUE,1,0)</f>
        <v>0</v>
      </c>
      <c r="K677" s="188">
        <f>IF(Daten!$V677=13,1,0)</f>
        <v>1</v>
      </c>
      <c r="L677" s="189">
        <f>IF(Daten!$V677&lt;&gt;Daten!$W677,1,IF(Daten!$V677=14,1,0))</f>
        <v>1</v>
      </c>
      <c r="M677" s="189">
        <f>IF(Daten!$V677&lt;&gt;Daten!$W677,1,IF(Daten!$V677=16,1,0))</f>
        <v>1</v>
      </c>
      <c r="N677" s="189">
        <f>IF(Daten!$W677=17,1,0)</f>
        <v>1</v>
      </c>
      <c r="O677" s="190">
        <f ca="1">IF(Daten!$X677=Sprache!$A$70,1,0)</f>
        <v>0</v>
      </c>
      <c r="P677" s="191">
        <f>IF(AND(Daten!$AQ677&lt;=KINVARO!$AW$3,Daten!$AR677&gt;=KINVARO!$AW$3)=TRUE,1,0)</f>
        <v>1</v>
      </c>
      <c r="Q677" s="192">
        <f>IF(AND(Daten!$AA677&lt;=KINVARO!$AW$4,Daten!$AB677&gt;=KINVARO!$AW$4)=TRUE,1,0)</f>
        <v>0</v>
      </c>
      <c r="R677" s="192"/>
      <c r="S677" s="192">
        <f>IF(AND(Daten!$AD677&lt;=Limits!$I$70,Daten!$AE677&gt;=Limits!$I$70)=TRUE,1,0)</f>
        <v>1</v>
      </c>
      <c r="T677" s="193">
        <f ca="1">IF(Daten!$Y677=Sprache!$A$135,1,0)</f>
        <v>0</v>
      </c>
      <c r="U677" s="124" t="str">
        <f ca="1">Sprache!$A$69</f>
        <v>S-35 Откидной подъемник</v>
      </c>
      <c r="V677" s="194">
        <v>13</v>
      </c>
      <c r="W677" s="193">
        <v>17</v>
      </c>
      <c r="X677" s="187" t="str">
        <f ca="1">Sprache!$A$142</f>
        <v>Alu (Rahmen 19mm)</v>
      </c>
      <c r="Y677" s="187" t="str">
        <f ca="1">Sprache!$A$136</f>
        <v>nein</v>
      </c>
      <c r="Z677" s="187" t="str">
        <f ca="1">Sprache!$A$79</f>
        <v>Створка</v>
      </c>
      <c r="AA677" s="187">
        <v>420</v>
      </c>
      <c r="AB677" s="124">
        <v>449</v>
      </c>
      <c r="AC677" s="187"/>
      <c r="AD677" s="195">
        <v>5</v>
      </c>
      <c r="AE677" s="196">
        <v>11</v>
      </c>
      <c r="AF677" s="263" t="str">
        <f>MID(Tabelle2[[#This Row],[bnr full]],1,4)</f>
        <v>F152</v>
      </c>
      <c r="AG677" s="264" t="str">
        <f>MID(Tabelle2[[#This Row],[bnr full]],5,3)</f>
        <v>000</v>
      </c>
      <c r="AH677" s="265" t="str">
        <f>MID(Tabelle2[[#This Row],[bnr full]],8,3)</f>
        <v>256</v>
      </c>
      <c r="AI677" s="264" t="str">
        <f>MID(Tabelle2[[#This Row],[bnr full]],11,3)</f>
        <v>201</v>
      </c>
      <c r="AJ677" s="252" t="str">
        <f>MID(Tabelle2[[#This Row],[bnr full]],11,3)</f>
        <v>201</v>
      </c>
      <c r="AK677" s="197" t="s">
        <v>810</v>
      </c>
      <c r="AL677" s="124" t="str">
        <f ca="1">Sprache!$A$111</f>
        <v>Комплект (Л + П)</v>
      </c>
      <c r="AM677" s="187" t="s">
        <v>25</v>
      </c>
      <c r="AN677" s="187" t="str">
        <f ca="1">Sprache!$A$121</f>
        <v>Силовой механизм B</v>
      </c>
      <c r="AO677" s="187" t="str">
        <f ca="1">Sprache!$A$147</f>
        <v>Адаптер под алюминиевые рамки к комплекту Kinvaro S-35</v>
      </c>
      <c r="AP677" s="225" t="s">
        <v>814</v>
      </c>
      <c r="AQ677" s="187">
        <v>450</v>
      </c>
      <c r="AR677" s="124">
        <v>1200</v>
      </c>
      <c r="AS677" s="187"/>
      <c r="AT677" s="124"/>
      <c r="AV677"/>
      <c r="AX677" s="10"/>
      <c r="AY677" s="11"/>
      <c r="AZ677" s="2"/>
      <c r="BC677"/>
    </row>
    <row r="678" spans="1:55" hidden="1" x14ac:dyDescent="0.25">
      <c r="A678" s="12" t="str">
        <f ca="1">IF(F678+G678+H678+I678+J678+D678+E678=3,IF(Tabelle2[[#This Row],[Kappe Weiß]]=Limits!$R$29,1,""),"")</f>
        <v/>
      </c>
      <c r="B678" s="12" t="str">
        <f ca="1">IF(G678+H678+I678+J678+E678+F678=2,IF(Tabelle2[[#This Row],[Kappe Weiß]]=Limits!$R$29,1,""),"")</f>
        <v/>
      </c>
      <c r="C678" s="292">
        <v>0</v>
      </c>
      <c r="D678" s="171">
        <f>IF(Limits!$P$5=TRUE,1,0)</f>
        <v>0</v>
      </c>
      <c r="E678" s="172">
        <f>IF(Daten!$P678+Daten!$Q678+Daten!$S678=3,1,0)</f>
        <v>0</v>
      </c>
      <c r="F678" s="173">
        <f ca="1">IF(AND(Limits!$Q$21=TRUE,Daten!O678=1)=TRUE,1,0)</f>
        <v>1</v>
      </c>
      <c r="G678" s="174">
        <f ca="1">IF(AND(Limits!$Q$25=TRUE,Daten!N678=1)=TRUE,1,0)</f>
        <v>0</v>
      </c>
      <c r="H678" s="174">
        <f ca="1">IF(AND(Limits!$Q$24=TRUE,Daten!M678=1)=TRUE,1,0)</f>
        <v>0</v>
      </c>
      <c r="I678" s="174">
        <f ca="1">IF(AND(Limits!$Q$23=TRUE,Daten!L678=1)=TRUE,1,0)</f>
        <v>0</v>
      </c>
      <c r="J678" s="174">
        <f ca="1">IF(AND(Limits!$Q$22=TRUE,Daten!K678=1)=TRUE,1,0)</f>
        <v>0</v>
      </c>
      <c r="K678" s="188">
        <f ca="1">IF(Daten!$V678=13,1,0)</f>
        <v>0</v>
      </c>
      <c r="L678" s="189">
        <f ca="1">IF(Daten!$V678&lt;&gt;Daten!$W678,1,IF(Daten!$V678=14,1,0))</f>
        <v>0</v>
      </c>
      <c r="M678" s="189">
        <f ca="1">IF(Daten!$V678&lt;&gt;Daten!$W678,1,IF(Daten!$V678=16,1,0))</f>
        <v>0</v>
      </c>
      <c r="N678" s="189">
        <f ca="1">IF(Daten!$W678=17,1,0)</f>
        <v>0</v>
      </c>
      <c r="O678" s="190">
        <f ca="1">IF(Daten!$X678=Sprache!$A$70,1,0)</f>
        <v>1</v>
      </c>
      <c r="P678" s="198">
        <f>IF(AND(Daten!$AQ678&lt;=KINVARO!$AW$3,Daten!$AR678&gt;=KINVARO!$AW$3)=TRUE,1,0)</f>
        <v>1</v>
      </c>
      <c r="Q678" s="199">
        <f>IF(AND(Daten!$AA678&lt;=KINVARO!$AW$4,Daten!$AB678&gt;=KINVARO!$AW$4)=TRUE,1,0)</f>
        <v>0</v>
      </c>
      <c r="R678" s="199"/>
      <c r="S678" s="199">
        <f>IF(AND(Daten!$AD678&lt;=Limits!$I$70,Daten!$AE678&gt;=Limits!$I$70)=TRUE,1,0)</f>
        <v>0</v>
      </c>
      <c r="T678" s="200">
        <f ca="1">IF(Daten!$Y678=Sprache!$A$135,1,0)</f>
        <v>0</v>
      </c>
      <c r="U678" s="201" t="str">
        <f ca="1">Sprache!$A$69</f>
        <v>S-35 Откидной подъемник</v>
      </c>
      <c r="V678" s="202" t="str">
        <f ca="1">Sprache!$A$74</f>
        <v>var</v>
      </c>
      <c r="W678" s="200" t="str">
        <f ca="1">Sprache!$A$74</f>
        <v>var</v>
      </c>
      <c r="X678" s="203" t="str">
        <f ca="1">Sprache!$A$70</f>
        <v>соединение с древесиной</v>
      </c>
      <c r="Y678" s="187" t="str">
        <f ca="1">Sprache!$A$136</f>
        <v>nein</v>
      </c>
      <c r="Z678" s="203" t="str">
        <f ca="1">Sprache!$A$79</f>
        <v>Створка</v>
      </c>
      <c r="AA678" s="203">
        <v>450</v>
      </c>
      <c r="AB678" s="201">
        <v>479</v>
      </c>
      <c r="AC678" s="203"/>
      <c r="AD678" s="204">
        <v>1.8</v>
      </c>
      <c r="AE678" s="205">
        <v>7.5</v>
      </c>
      <c r="AF678" s="266" t="str">
        <f>MID(Tabelle2[[#This Row],[bnr full]],1,4)</f>
        <v>F152</v>
      </c>
      <c r="AG678" s="267" t="str">
        <f>MID(Tabelle2[[#This Row],[bnr full]],5,3)</f>
        <v>000</v>
      </c>
      <c r="AH678" s="268" t="str">
        <f>MID(Tabelle2[[#This Row],[bnr full]],8,3)</f>
        <v>255</v>
      </c>
      <c r="AI678" s="267" t="str">
        <f>MID(Tabelle2[[#This Row],[bnr full]],11,3)</f>
        <v>201</v>
      </c>
      <c r="AJ678" s="253" t="str">
        <f>MID(Tabelle2[[#This Row],[bnr full]],11,3)</f>
        <v>201</v>
      </c>
      <c r="AK678" s="206" t="s">
        <v>809</v>
      </c>
      <c r="AL678" s="201" t="str">
        <f ca="1">Sprache!$A$111</f>
        <v>Комплект (Л + П)</v>
      </c>
      <c r="AM678" s="203" t="s">
        <v>25</v>
      </c>
      <c r="AN678" s="203" t="str">
        <f ca="1">Sprache!$A$120</f>
        <v>Силовой механизм A</v>
      </c>
      <c r="AO678" s="203" t="s">
        <v>25</v>
      </c>
      <c r="AP678" s="203" t="s">
        <v>25</v>
      </c>
      <c r="AQ678" s="203">
        <v>450</v>
      </c>
      <c r="AR678" s="201">
        <v>1200</v>
      </c>
      <c r="AS678" s="187"/>
      <c r="AT678" s="124"/>
      <c r="AV678"/>
      <c r="AX678" s="10"/>
      <c r="AY678" s="11"/>
      <c r="AZ678" s="2"/>
      <c r="BC678"/>
    </row>
    <row r="679" spans="1:55" hidden="1" x14ac:dyDescent="0.25">
      <c r="A679" s="12" t="str">
        <f ca="1">IF(F679+G679+H679+I679+J679+D679+E679=3,IF(Tabelle2[[#This Row],[Kappe Weiß]]=Limits!$R$29,1,""),"")</f>
        <v/>
      </c>
      <c r="B679" s="12" t="str">
        <f ca="1">IF(G679+H679+I679+J679+E679+F679=2,IF(Tabelle2[[#This Row],[Kappe Weiß]]=Limits!$R$29,1,""),"")</f>
        <v/>
      </c>
      <c r="C679" s="291">
        <v>0</v>
      </c>
      <c r="D679" s="171">
        <f>IF(Limits!$P$5=TRUE,1,0)</f>
        <v>0</v>
      </c>
      <c r="E679" s="172">
        <f>IF(Daten!$P679+Daten!$Q679+Daten!$S679=3,1,0)</f>
        <v>0</v>
      </c>
      <c r="F679" s="173">
        <f ca="1">IF(AND(Limits!$Q$21=TRUE,Daten!O679=1)=TRUE,1,0)</f>
        <v>1</v>
      </c>
      <c r="G679" s="174">
        <f ca="1">IF(AND(Limits!$Q$25=TRUE,Daten!N679=1)=TRUE,1,0)</f>
        <v>0</v>
      </c>
      <c r="H679" s="174">
        <f ca="1">IF(AND(Limits!$Q$24=TRUE,Daten!M679=1)=TRUE,1,0)</f>
        <v>0</v>
      </c>
      <c r="I679" s="174">
        <f ca="1">IF(AND(Limits!$Q$23=TRUE,Daten!L679=1)=TRUE,1,0)</f>
        <v>0</v>
      </c>
      <c r="J679" s="174">
        <f ca="1">IF(AND(Limits!$Q$22=TRUE,Daten!K679=1)=TRUE,1,0)</f>
        <v>0</v>
      </c>
      <c r="K679" s="188">
        <f ca="1">IF(Daten!$V679=13,1,0)</f>
        <v>0</v>
      </c>
      <c r="L679" s="189">
        <f ca="1">IF(Daten!$V679&lt;&gt;Daten!$W679,1,IF(Daten!$V679=14,1,0))</f>
        <v>0</v>
      </c>
      <c r="M679" s="189">
        <f ca="1">IF(Daten!$V679&lt;&gt;Daten!$W679,1,IF(Daten!$V679=16,1,0))</f>
        <v>0</v>
      </c>
      <c r="N679" s="189">
        <f ca="1">IF(Daten!$W679=17,1,0)</f>
        <v>0</v>
      </c>
      <c r="O679" s="190">
        <f ca="1">IF(Daten!$X679=Sprache!$A$70,1,0)</f>
        <v>1</v>
      </c>
      <c r="P679" s="191">
        <f>IF(AND(Daten!$AQ679&lt;=KINVARO!$AW$3,Daten!$AR679&gt;=KINVARO!$AW$3)=TRUE,1,0)</f>
        <v>1</v>
      </c>
      <c r="Q679" s="192">
        <f>IF(AND(Daten!$AA679&lt;=KINVARO!$AW$4,Daten!$AB679&gt;=KINVARO!$AW$4)=TRUE,1,0)</f>
        <v>0</v>
      </c>
      <c r="R679" s="192"/>
      <c r="S679" s="192">
        <f>IF(AND(Daten!$AD679&lt;=Limits!$I$70,Daten!$AE679&gt;=Limits!$I$70)=TRUE,1,0)</f>
        <v>1</v>
      </c>
      <c r="T679" s="193">
        <f ca="1">IF(Daten!$Y679=Sprache!$A$135,1,0)</f>
        <v>0</v>
      </c>
      <c r="U679" s="124" t="str">
        <f ca="1">Sprache!$A$69</f>
        <v>S-35 Откидной подъемник</v>
      </c>
      <c r="V679" s="194" t="str">
        <f ca="1">Sprache!$A$74</f>
        <v>var</v>
      </c>
      <c r="W679" s="193" t="str">
        <f ca="1">Sprache!$A$74</f>
        <v>var</v>
      </c>
      <c r="X679" s="187" t="str">
        <f ca="1">Sprache!$A$70</f>
        <v>соединение с древесиной</v>
      </c>
      <c r="Y679" s="187" t="str">
        <f ca="1">Sprache!$A$136</f>
        <v>nein</v>
      </c>
      <c r="Z679" s="187" t="str">
        <f ca="1">Sprache!$A$79</f>
        <v>Створка</v>
      </c>
      <c r="AA679" s="187">
        <v>450</v>
      </c>
      <c r="AB679" s="124">
        <v>479</v>
      </c>
      <c r="AC679" s="187"/>
      <c r="AD679" s="195">
        <v>5</v>
      </c>
      <c r="AE679" s="196">
        <v>12</v>
      </c>
      <c r="AF679" s="263" t="str">
        <f>MID(Tabelle2[[#This Row],[bnr full]],1,4)</f>
        <v>F152</v>
      </c>
      <c r="AG679" s="264" t="str">
        <f>MID(Tabelle2[[#This Row],[bnr full]],5,3)</f>
        <v>000</v>
      </c>
      <c r="AH679" s="265" t="str">
        <f>MID(Tabelle2[[#This Row],[bnr full]],8,3)</f>
        <v>256</v>
      </c>
      <c r="AI679" s="264" t="str">
        <f>MID(Tabelle2[[#This Row],[bnr full]],11,3)</f>
        <v>201</v>
      </c>
      <c r="AJ679" s="252" t="str">
        <f>MID(Tabelle2[[#This Row],[bnr full]],11,3)</f>
        <v>201</v>
      </c>
      <c r="AK679" s="197" t="s">
        <v>810</v>
      </c>
      <c r="AL679" s="124" t="str">
        <f ca="1">Sprache!$A$111</f>
        <v>Комплект (Л + П)</v>
      </c>
      <c r="AM679" s="187" t="s">
        <v>25</v>
      </c>
      <c r="AN679" s="187" t="str">
        <f ca="1">Sprache!$A$121</f>
        <v>Силовой механизм B</v>
      </c>
      <c r="AO679" s="187" t="s">
        <v>25</v>
      </c>
      <c r="AP679" s="187" t="s">
        <v>25</v>
      </c>
      <c r="AQ679" s="187">
        <v>450</v>
      </c>
      <c r="AR679" s="124">
        <v>1200</v>
      </c>
      <c r="AS679" s="187"/>
      <c r="AT679" s="124"/>
      <c r="AV679"/>
      <c r="AX679" s="10"/>
      <c r="AY679" s="11"/>
      <c r="AZ679" s="2"/>
      <c r="BC679"/>
    </row>
    <row r="680" spans="1:55" hidden="1" x14ac:dyDescent="0.25">
      <c r="A680" s="12" t="str">
        <f ca="1">IF(F680+G680+H680+I680+J680+D680+E680=3,IF(Tabelle2[[#This Row],[Kappe Weiß]]=Limits!$R$29,1,""),"")</f>
        <v/>
      </c>
      <c r="B680" s="12" t="str">
        <f ca="1">IF(G680+H680+I680+J680+E680+F680=2,IF(Tabelle2[[#This Row],[Kappe Weiß]]=Limits!$R$29,1,""),"")</f>
        <v/>
      </c>
      <c r="C680" s="291">
        <v>0</v>
      </c>
      <c r="D680" s="171">
        <f>IF(Limits!$P$5=TRUE,1,0)</f>
        <v>0</v>
      </c>
      <c r="E680" s="172">
        <f>IF(Daten!$P680+Daten!$Q680+Daten!$S680=3,1,0)</f>
        <v>0</v>
      </c>
      <c r="F680" s="173">
        <f ca="1">IF(AND(Limits!$Q$21=TRUE,Daten!O680=1)=TRUE,1,0)</f>
        <v>0</v>
      </c>
      <c r="G680" s="174">
        <f>IF(AND(Limits!$Q$25=TRUE,Daten!N680=1)=TRUE,1,0)</f>
        <v>0</v>
      </c>
      <c r="H680" s="174">
        <f>IF(AND(Limits!$Q$24=TRUE,Daten!M680=1)=TRUE,1,0)</f>
        <v>0</v>
      </c>
      <c r="I680" s="174">
        <f>IF(AND(Limits!$Q$23=TRUE,Daten!L680=1)=TRUE,1,0)</f>
        <v>0</v>
      </c>
      <c r="J680" s="174">
        <f>IF(AND(Limits!$Q$22=TRUE,Daten!K680=1)=TRUE,1,0)</f>
        <v>0</v>
      </c>
      <c r="K680" s="188">
        <f>IF(Daten!$V680=13,1,0)</f>
        <v>1</v>
      </c>
      <c r="L680" s="189">
        <f>IF(Daten!$V680&lt;&gt;Daten!$W680,1,IF(Daten!$V680=14,1,0))</f>
        <v>1</v>
      </c>
      <c r="M680" s="189">
        <f>IF(Daten!$V680&lt;&gt;Daten!$W680,1,IF(Daten!$V680=16,1,0))</f>
        <v>1</v>
      </c>
      <c r="N680" s="189">
        <f>IF(Daten!$W680=17,1,0)</f>
        <v>1</v>
      </c>
      <c r="O680" s="190">
        <f ca="1">IF(Daten!$X680=Sprache!$A$70,1,0)</f>
        <v>0</v>
      </c>
      <c r="P680" s="191">
        <f>IF(AND(Daten!$AQ680&lt;=KINVARO!$AW$3,Daten!$AR680&gt;=KINVARO!$AW$3)=TRUE,1,0)</f>
        <v>1</v>
      </c>
      <c r="Q680" s="192">
        <f>IF(AND(Daten!$AA680&lt;=KINVARO!$AW$4,Daten!$AB680&gt;=KINVARO!$AW$4)=TRUE,1,0)</f>
        <v>0</v>
      </c>
      <c r="R680" s="192"/>
      <c r="S680" s="192">
        <f>IF(AND(Daten!$AD680&lt;=Limits!$I$70,Daten!$AE680&gt;=Limits!$I$70)=TRUE,1,0)</f>
        <v>0</v>
      </c>
      <c r="T680" s="193">
        <f ca="1">IF(Daten!$Y680=Sprache!$A$135,1,0)</f>
        <v>0</v>
      </c>
      <c r="U680" s="124" t="str">
        <f ca="1">Sprache!$A$69</f>
        <v>S-35 Откидной подъемник</v>
      </c>
      <c r="V680" s="194">
        <v>13</v>
      </c>
      <c r="W680" s="193">
        <v>17</v>
      </c>
      <c r="X680" s="187" t="str">
        <f ca="1">Sprache!$A$142</f>
        <v>Alu (Rahmen 19mm)</v>
      </c>
      <c r="Y680" s="187" t="str">
        <f ca="1">Sprache!$A$136</f>
        <v>nein</v>
      </c>
      <c r="Z680" s="187" t="str">
        <f ca="1">Sprache!$A$79</f>
        <v>Створка</v>
      </c>
      <c r="AA680" s="187">
        <v>450</v>
      </c>
      <c r="AB680" s="124">
        <v>479</v>
      </c>
      <c r="AC680" s="187"/>
      <c r="AD680" s="195">
        <v>1.8</v>
      </c>
      <c r="AE680" s="196">
        <v>7.5</v>
      </c>
      <c r="AF680" s="263" t="str">
        <f>MID(Tabelle2[[#This Row],[bnr full]],1,4)</f>
        <v>F152</v>
      </c>
      <c r="AG680" s="264" t="str">
        <f>MID(Tabelle2[[#This Row],[bnr full]],5,3)</f>
        <v>000</v>
      </c>
      <c r="AH680" s="265" t="str">
        <f>MID(Tabelle2[[#This Row],[bnr full]],8,3)</f>
        <v>255</v>
      </c>
      <c r="AI680" s="264" t="str">
        <f>MID(Tabelle2[[#This Row],[bnr full]],11,3)</f>
        <v>201</v>
      </c>
      <c r="AJ680" s="252" t="str">
        <f>MID(Tabelle2[[#This Row],[bnr full]],11,3)</f>
        <v>201</v>
      </c>
      <c r="AK680" s="197" t="s">
        <v>809</v>
      </c>
      <c r="AL680" s="124" t="str">
        <f ca="1">Sprache!$A$111</f>
        <v>Комплект (Л + П)</v>
      </c>
      <c r="AM680" s="187" t="s">
        <v>25</v>
      </c>
      <c r="AN680" s="187" t="str">
        <f ca="1">Sprache!$A$120</f>
        <v>Силовой механизм A</v>
      </c>
      <c r="AO680" s="187" t="str">
        <f ca="1">Sprache!$A$147</f>
        <v>Адаптер под алюминиевые рамки к комплекту Kinvaro S-35</v>
      </c>
      <c r="AP680" s="225" t="s">
        <v>814</v>
      </c>
      <c r="AQ680" s="187">
        <v>450</v>
      </c>
      <c r="AR680" s="124">
        <v>1200</v>
      </c>
      <c r="AS680" s="187"/>
      <c r="AT680" s="124"/>
      <c r="AV680"/>
      <c r="AX680" s="10"/>
      <c r="AY680" s="11"/>
      <c r="AZ680" s="2"/>
      <c r="BC680"/>
    </row>
    <row r="681" spans="1:55" hidden="1" x14ac:dyDescent="0.25">
      <c r="A681" s="12" t="str">
        <f ca="1">IF(F681+G681+H681+I681+J681+D681+E681=3,IF(Tabelle2[[#This Row],[Kappe Weiß]]=Limits!$R$29,1,""),"")</f>
        <v/>
      </c>
      <c r="B681" s="12" t="str">
        <f ca="1">IF(G681+H681+I681+J681+E681+F681=2,IF(Tabelle2[[#This Row],[Kappe Weiß]]=Limits!$R$29,1,""),"")</f>
        <v/>
      </c>
      <c r="C681" s="291">
        <v>0</v>
      </c>
      <c r="D681" s="171">
        <f>IF(Limits!$P$5=TRUE,1,0)</f>
        <v>0</v>
      </c>
      <c r="E681" s="172">
        <f>IF(Daten!$P681+Daten!$Q681+Daten!$S681=3,1,0)</f>
        <v>0</v>
      </c>
      <c r="F681" s="173">
        <f ca="1">IF(AND(Limits!$Q$21=TRUE,Daten!O681=1)=TRUE,1,0)</f>
        <v>0</v>
      </c>
      <c r="G681" s="174">
        <f>IF(AND(Limits!$Q$25=TRUE,Daten!N681=1)=TRUE,1,0)</f>
        <v>0</v>
      </c>
      <c r="H681" s="174">
        <f>IF(AND(Limits!$Q$24=TRUE,Daten!M681=1)=TRUE,1,0)</f>
        <v>0</v>
      </c>
      <c r="I681" s="174">
        <f>IF(AND(Limits!$Q$23=TRUE,Daten!L681=1)=TRUE,1,0)</f>
        <v>0</v>
      </c>
      <c r="J681" s="174">
        <f>IF(AND(Limits!$Q$22=TRUE,Daten!K681=1)=TRUE,1,0)</f>
        <v>0</v>
      </c>
      <c r="K681" s="188">
        <f>IF(Daten!$V681=13,1,0)</f>
        <v>1</v>
      </c>
      <c r="L681" s="189">
        <f>IF(Daten!$V681&lt;&gt;Daten!$W681,1,IF(Daten!$V681=14,1,0))</f>
        <v>1</v>
      </c>
      <c r="M681" s="189">
        <f>IF(Daten!$V681&lt;&gt;Daten!$W681,1,IF(Daten!$V681=16,1,0))</f>
        <v>1</v>
      </c>
      <c r="N681" s="189">
        <f>IF(Daten!$W681=17,1,0)</f>
        <v>1</v>
      </c>
      <c r="O681" s="190">
        <f ca="1">IF(Daten!$X681=Sprache!$A$70,1,0)</f>
        <v>0</v>
      </c>
      <c r="P681" s="191">
        <f>IF(AND(Daten!$AQ681&lt;=KINVARO!$AW$3,Daten!$AR681&gt;=KINVARO!$AW$3)=TRUE,1,0)</f>
        <v>1</v>
      </c>
      <c r="Q681" s="192">
        <f>IF(AND(Daten!$AA681&lt;=KINVARO!$AW$4,Daten!$AB681&gt;=KINVARO!$AW$4)=TRUE,1,0)</f>
        <v>0</v>
      </c>
      <c r="R681" s="192"/>
      <c r="S681" s="192">
        <f>IF(AND(Daten!$AD681&lt;=Limits!$I$70,Daten!$AE681&gt;=Limits!$I$70)=TRUE,1,0)</f>
        <v>1</v>
      </c>
      <c r="T681" s="193">
        <f ca="1">IF(Daten!$Y681=Sprache!$A$135,1,0)</f>
        <v>0</v>
      </c>
      <c r="U681" s="124" t="str">
        <f ca="1">Sprache!$A$69</f>
        <v>S-35 Откидной подъемник</v>
      </c>
      <c r="V681" s="194">
        <v>13</v>
      </c>
      <c r="W681" s="193">
        <v>17</v>
      </c>
      <c r="X681" s="187" t="str">
        <f ca="1">Sprache!$A$142</f>
        <v>Alu (Rahmen 19mm)</v>
      </c>
      <c r="Y681" s="187" t="str">
        <f ca="1">Sprache!$A$136</f>
        <v>nein</v>
      </c>
      <c r="Z681" s="187" t="str">
        <f ca="1">Sprache!$A$79</f>
        <v>Створка</v>
      </c>
      <c r="AA681" s="187">
        <v>450</v>
      </c>
      <c r="AB681" s="124">
        <v>479</v>
      </c>
      <c r="AC681" s="187"/>
      <c r="AD681" s="195">
        <v>5</v>
      </c>
      <c r="AE681" s="196">
        <v>12</v>
      </c>
      <c r="AF681" s="263" t="str">
        <f>MID(Tabelle2[[#This Row],[bnr full]],1,4)</f>
        <v>F152</v>
      </c>
      <c r="AG681" s="264" t="str">
        <f>MID(Tabelle2[[#This Row],[bnr full]],5,3)</f>
        <v>000</v>
      </c>
      <c r="AH681" s="265" t="str">
        <f>MID(Tabelle2[[#This Row],[bnr full]],8,3)</f>
        <v>256</v>
      </c>
      <c r="AI681" s="264" t="str">
        <f>MID(Tabelle2[[#This Row],[bnr full]],11,3)</f>
        <v>201</v>
      </c>
      <c r="AJ681" s="252" t="str">
        <f>MID(Tabelle2[[#This Row],[bnr full]],11,3)</f>
        <v>201</v>
      </c>
      <c r="AK681" s="197" t="s">
        <v>810</v>
      </c>
      <c r="AL681" s="124" t="str">
        <f ca="1">Sprache!$A$111</f>
        <v>Комплект (Л + П)</v>
      </c>
      <c r="AM681" s="187" t="s">
        <v>25</v>
      </c>
      <c r="AN681" s="187" t="str">
        <f ca="1">Sprache!$A$121</f>
        <v>Силовой механизм B</v>
      </c>
      <c r="AO681" s="187" t="str">
        <f ca="1">Sprache!$A$147</f>
        <v>Адаптер под алюминиевые рамки к комплекту Kinvaro S-35</v>
      </c>
      <c r="AP681" s="225" t="s">
        <v>814</v>
      </c>
      <c r="AQ681" s="187">
        <v>450</v>
      </c>
      <c r="AR681" s="124">
        <v>1200</v>
      </c>
      <c r="AS681" s="187"/>
      <c r="AT681" s="124"/>
      <c r="AV681"/>
      <c r="AX681" s="10"/>
      <c r="AY681" s="11"/>
      <c r="AZ681" s="2"/>
      <c r="BC681"/>
    </row>
    <row r="682" spans="1:55" hidden="1" x14ac:dyDescent="0.25">
      <c r="A682" s="12" t="str">
        <f ca="1">IF(F682+G682+H682+I682+J682+D682+E682=3,IF(Tabelle2[[#This Row],[Kappe Weiß]]=Limits!$R$29,1,""),"")</f>
        <v/>
      </c>
      <c r="B682" s="12" t="str">
        <f ca="1">IF(G682+H682+I682+J682+E682+F682=2,IF(Tabelle2[[#This Row],[Kappe Weiß]]=Limits!$R$29,1,""),"")</f>
        <v/>
      </c>
      <c r="C682" s="292">
        <v>0</v>
      </c>
      <c r="D682" s="171">
        <f>IF(Limits!$P$5=TRUE,1,0)</f>
        <v>0</v>
      </c>
      <c r="E682" s="172">
        <f>IF(Daten!$P682+Daten!$Q682+Daten!$S682=3,1,0)</f>
        <v>0</v>
      </c>
      <c r="F682" s="173">
        <f ca="1">IF(AND(Limits!$Q$21=TRUE,Daten!O682=1)=TRUE,1,0)</f>
        <v>1</v>
      </c>
      <c r="G682" s="174">
        <f ca="1">IF(AND(Limits!$Q$25=TRUE,Daten!N682=1)=TRUE,1,0)</f>
        <v>0</v>
      </c>
      <c r="H682" s="174">
        <f ca="1">IF(AND(Limits!$Q$24=TRUE,Daten!M682=1)=TRUE,1,0)</f>
        <v>0</v>
      </c>
      <c r="I682" s="174">
        <f ca="1">IF(AND(Limits!$Q$23=TRUE,Daten!L682=1)=TRUE,1,0)</f>
        <v>0</v>
      </c>
      <c r="J682" s="174">
        <f ca="1">IF(AND(Limits!$Q$22=TRUE,Daten!K682=1)=TRUE,1,0)</f>
        <v>0</v>
      </c>
      <c r="K682" s="188">
        <f ca="1">IF(Daten!$V682=13,1,0)</f>
        <v>0</v>
      </c>
      <c r="L682" s="189">
        <f ca="1">IF(Daten!$V682&lt;&gt;Daten!$W682,1,IF(Daten!$V682=14,1,0))</f>
        <v>0</v>
      </c>
      <c r="M682" s="189">
        <f ca="1">IF(Daten!$V682&lt;&gt;Daten!$W682,1,IF(Daten!$V682=16,1,0))</f>
        <v>0</v>
      </c>
      <c r="N682" s="189">
        <f ca="1">IF(Daten!$W682=17,1,0)</f>
        <v>0</v>
      </c>
      <c r="O682" s="190">
        <f ca="1">IF(Daten!$X682=Sprache!$A$70,1,0)</f>
        <v>1</v>
      </c>
      <c r="P682" s="198">
        <f>IF(AND(Daten!$AQ682&lt;=KINVARO!$AW$3,Daten!$AR682&gt;=KINVARO!$AW$3)=TRUE,1,0)</f>
        <v>1</v>
      </c>
      <c r="Q682" s="199">
        <f>IF(AND(Daten!$AA682&lt;=KINVARO!$AW$4,Daten!$AB682&gt;=KINVARO!$AW$4)=TRUE,1,0)</f>
        <v>0</v>
      </c>
      <c r="R682" s="199"/>
      <c r="S682" s="199">
        <f>IF(AND(Daten!$AD682&lt;=Limits!$I$70,Daten!$AE682&gt;=Limits!$I$70)=TRUE,1,0)</f>
        <v>0</v>
      </c>
      <c r="T682" s="200">
        <f ca="1">IF(Daten!$Y682=Sprache!$A$135,1,0)</f>
        <v>0</v>
      </c>
      <c r="U682" s="201" t="str">
        <f ca="1">Sprache!$A$69</f>
        <v>S-35 Откидной подъемник</v>
      </c>
      <c r="V682" s="202" t="str">
        <f ca="1">Sprache!$A$74</f>
        <v>var</v>
      </c>
      <c r="W682" s="200" t="str">
        <f ca="1">Sprache!$A$74</f>
        <v>var</v>
      </c>
      <c r="X682" s="203" t="str">
        <f ca="1">Sprache!$A$70</f>
        <v>соединение с древесиной</v>
      </c>
      <c r="Y682" s="187" t="str">
        <f ca="1">Sprache!$A$136</f>
        <v>nein</v>
      </c>
      <c r="Z682" s="203" t="str">
        <f ca="1">Sprache!$A$79</f>
        <v>Створка</v>
      </c>
      <c r="AA682" s="203">
        <v>480</v>
      </c>
      <c r="AB682" s="201">
        <v>509</v>
      </c>
      <c r="AC682" s="203"/>
      <c r="AD682" s="204">
        <v>1.8</v>
      </c>
      <c r="AE682" s="205">
        <v>6.5</v>
      </c>
      <c r="AF682" s="266" t="str">
        <f>MID(Tabelle2[[#This Row],[bnr full]],1,4)</f>
        <v>F152</v>
      </c>
      <c r="AG682" s="267" t="str">
        <f>MID(Tabelle2[[#This Row],[bnr full]],5,3)</f>
        <v>000</v>
      </c>
      <c r="AH682" s="268" t="str">
        <f>MID(Tabelle2[[#This Row],[bnr full]],8,3)</f>
        <v>255</v>
      </c>
      <c r="AI682" s="267" t="str">
        <f>MID(Tabelle2[[#This Row],[bnr full]],11,3)</f>
        <v>201</v>
      </c>
      <c r="AJ682" s="253" t="str">
        <f>MID(Tabelle2[[#This Row],[bnr full]],11,3)</f>
        <v>201</v>
      </c>
      <c r="AK682" s="206" t="s">
        <v>809</v>
      </c>
      <c r="AL682" s="201" t="str">
        <f ca="1">Sprache!$A$111</f>
        <v>Комплект (Л + П)</v>
      </c>
      <c r="AM682" s="203" t="s">
        <v>25</v>
      </c>
      <c r="AN682" s="203" t="str">
        <f ca="1">Sprache!$A$120</f>
        <v>Силовой механизм A</v>
      </c>
      <c r="AO682" s="203" t="s">
        <v>25</v>
      </c>
      <c r="AP682" s="203" t="s">
        <v>25</v>
      </c>
      <c r="AQ682" s="203">
        <v>450</v>
      </c>
      <c r="AR682" s="201">
        <v>1200</v>
      </c>
      <c r="AS682" s="187"/>
      <c r="AT682" s="124"/>
      <c r="AV682"/>
      <c r="AX682" s="10"/>
      <c r="AY682" s="11"/>
      <c r="AZ682" s="2"/>
      <c r="BC682"/>
    </row>
    <row r="683" spans="1:55" hidden="1" x14ac:dyDescent="0.25">
      <c r="A683" s="12" t="str">
        <f ca="1">IF(F683+G683+H683+I683+J683+D683+E683=3,IF(Tabelle2[[#This Row],[Kappe Weiß]]=Limits!$R$29,1,""),"")</f>
        <v/>
      </c>
      <c r="B683" s="12" t="str">
        <f ca="1">IF(G683+H683+I683+J683+E683+F683=2,IF(Tabelle2[[#This Row],[Kappe Weiß]]=Limits!$R$29,1,""),"")</f>
        <v/>
      </c>
      <c r="C683" s="291">
        <v>0</v>
      </c>
      <c r="D683" s="171">
        <f>IF(Limits!$P$5=TRUE,1,0)</f>
        <v>0</v>
      </c>
      <c r="E683" s="172">
        <f>IF(Daten!$P683+Daten!$Q683+Daten!$S683=3,1,0)</f>
        <v>0</v>
      </c>
      <c r="F683" s="173">
        <f ca="1">IF(AND(Limits!$Q$21=TRUE,Daten!O683=1)=TRUE,1,0)</f>
        <v>1</v>
      </c>
      <c r="G683" s="174">
        <f ca="1">IF(AND(Limits!$Q$25=TRUE,Daten!N683=1)=TRUE,1,0)</f>
        <v>0</v>
      </c>
      <c r="H683" s="174">
        <f ca="1">IF(AND(Limits!$Q$24=TRUE,Daten!M683=1)=TRUE,1,0)</f>
        <v>0</v>
      </c>
      <c r="I683" s="174">
        <f ca="1">IF(AND(Limits!$Q$23=TRUE,Daten!L683=1)=TRUE,1,0)</f>
        <v>0</v>
      </c>
      <c r="J683" s="174">
        <f ca="1">IF(AND(Limits!$Q$22=TRUE,Daten!K683=1)=TRUE,1,0)</f>
        <v>0</v>
      </c>
      <c r="K683" s="188">
        <f ca="1">IF(Daten!$V683=13,1,0)</f>
        <v>0</v>
      </c>
      <c r="L683" s="189">
        <f ca="1">IF(Daten!$V683&lt;&gt;Daten!$W683,1,IF(Daten!$V683=14,1,0))</f>
        <v>0</v>
      </c>
      <c r="M683" s="189">
        <f ca="1">IF(Daten!$V683&lt;&gt;Daten!$W683,1,IF(Daten!$V683=16,1,0))</f>
        <v>0</v>
      </c>
      <c r="N683" s="189">
        <f ca="1">IF(Daten!$W683=17,1,0)</f>
        <v>0</v>
      </c>
      <c r="O683" s="190">
        <f ca="1">IF(Daten!$X683=Sprache!$A$70,1,0)</f>
        <v>1</v>
      </c>
      <c r="P683" s="191">
        <f>IF(AND(Daten!$AQ683&lt;=KINVARO!$AW$3,Daten!$AR683&gt;=KINVARO!$AW$3)=TRUE,1,0)</f>
        <v>1</v>
      </c>
      <c r="Q683" s="192">
        <f>IF(AND(Daten!$AA683&lt;=KINVARO!$AW$4,Daten!$AB683&gt;=KINVARO!$AW$4)=TRUE,1,0)</f>
        <v>0</v>
      </c>
      <c r="R683" s="192"/>
      <c r="S683" s="192">
        <f>IF(AND(Daten!$AD683&lt;=Limits!$I$70,Daten!$AE683&gt;=Limits!$I$70)=TRUE,1,0)</f>
        <v>1</v>
      </c>
      <c r="T683" s="193">
        <f ca="1">IF(Daten!$Y683=Sprache!$A$135,1,0)</f>
        <v>0</v>
      </c>
      <c r="U683" s="124" t="str">
        <f ca="1">Sprache!$A$69</f>
        <v>S-35 Откидной подъемник</v>
      </c>
      <c r="V683" s="194" t="str">
        <f ca="1">Sprache!$A$74</f>
        <v>var</v>
      </c>
      <c r="W683" s="193" t="str">
        <f ca="1">Sprache!$A$74</f>
        <v>var</v>
      </c>
      <c r="X683" s="187" t="str">
        <f ca="1">Sprache!$A$70</f>
        <v>соединение с древесиной</v>
      </c>
      <c r="Y683" s="187" t="str">
        <f ca="1">Sprache!$A$136</f>
        <v>nein</v>
      </c>
      <c r="Z683" s="187" t="str">
        <f ca="1">Sprache!$A$79</f>
        <v>Створка</v>
      </c>
      <c r="AA683" s="187">
        <v>480</v>
      </c>
      <c r="AB683" s="124">
        <v>509</v>
      </c>
      <c r="AC683" s="187"/>
      <c r="AD683" s="195">
        <v>5</v>
      </c>
      <c r="AE683" s="196">
        <v>12.5</v>
      </c>
      <c r="AF683" s="263" t="str">
        <f>MID(Tabelle2[[#This Row],[bnr full]],1,4)</f>
        <v>F152</v>
      </c>
      <c r="AG683" s="264" t="str">
        <f>MID(Tabelle2[[#This Row],[bnr full]],5,3)</f>
        <v>000</v>
      </c>
      <c r="AH683" s="265" t="str">
        <f>MID(Tabelle2[[#This Row],[bnr full]],8,3)</f>
        <v>256</v>
      </c>
      <c r="AI683" s="264" t="str">
        <f>MID(Tabelle2[[#This Row],[bnr full]],11,3)</f>
        <v>201</v>
      </c>
      <c r="AJ683" s="252" t="str">
        <f>MID(Tabelle2[[#This Row],[bnr full]],11,3)</f>
        <v>201</v>
      </c>
      <c r="AK683" s="197" t="s">
        <v>810</v>
      </c>
      <c r="AL683" s="124" t="str">
        <f ca="1">Sprache!$A$111</f>
        <v>Комплект (Л + П)</v>
      </c>
      <c r="AM683" s="187" t="s">
        <v>25</v>
      </c>
      <c r="AN683" s="187" t="str">
        <f ca="1">Sprache!$A$121</f>
        <v>Силовой механизм B</v>
      </c>
      <c r="AO683" s="187" t="s">
        <v>25</v>
      </c>
      <c r="AP683" s="187" t="s">
        <v>25</v>
      </c>
      <c r="AQ683" s="187">
        <v>450</v>
      </c>
      <c r="AR683" s="124">
        <v>1200</v>
      </c>
      <c r="AS683" s="187"/>
      <c r="AT683" s="124"/>
      <c r="AV683"/>
      <c r="AX683" s="10"/>
      <c r="AY683" s="11"/>
      <c r="AZ683" s="2"/>
      <c r="BC683"/>
    </row>
    <row r="684" spans="1:55" hidden="1" x14ac:dyDescent="0.25">
      <c r="A684" s="12" t="str">
        <f ca="1">IF(F684+G684+H684+I684+J684+D684+E684=3,IF(Tabelle2[[#This Row],[Kappe Weiß]]=Limits!$R$29,1,""),"")</f>
        <v/>
      </c>
      <c r="B684" s="12" t="str">
        <f ca="1">IF(G684+H684+I684+J684+E684+F684=2,IF(Tabelle2[[#This Row],[Kappe Weiß]]=Limits!$R$29,1,""),"")</f>
        <v/>
      </c>
      <c r="C684" s="291">
        <v>0</v>
      </c>
      <c r="D684" s="171">
        <f>IF(Limits!$P$5=TRUE,1,0)</f>
        <v>0</v>
      </c>
      <c r="E684" s="172">
        <f>IF(Daten!$P684+Daten!$Q684+Daten!$S684=3,1,0)</f>
        <v>0</v>
      </c>
      <c r="F684" s="173">
        <f ca="1">IF(AND(Limits!$Q$21=TRUE,Daten!O684=1)=TRUE,1,0)</f>
        <v>0</v>
      </c>
      <c r="G684" s="174">
        <f>IF(AND(Limits!$Q$25=TRUE,Daten!N684=1)=TRUE,1,0)</f>
        <v>0</v>
      </c>
      <c r="H684" s="174">
        <f>IF(AND(Limits!$Q$24=TRUE,Daten!M684=1)=TRUE,1,0)</f>
        <v>0</v>
      </c>
      <c r="I684" s="174">
        <f>IF(AND(Limits!$Q$23=TRUE,Daten!L684=1)=TRUE,1,0)</f>
        <v>0</v>
      </c>
      <c r="J684" s="174">
        <f>IF(AND(Limits!$Q$22=TRUE,Daten!K684=1)=TRUE,1,0)</f>
        <v>0</v>
      </c>
      <c r="K684" s="188">
        <f>IF(Daten!$V684=13,1,0)</f>
        <v>1</v>
      </c>
      <c r="L684" s="189">
        <f>IF(Daten!$V684&lt;&gt;Daten!$W684,1,IF(Daten!$V684=14,1,0))</f>
        <v>1</v>
      </c>
      <c r="M684" s="189">
        <f>IF(Daten!$V684&lt;&gt;Daten!$W684,1,IF(Daten!$V684=16,1,0))</f>
        <v>1</v>
      </c>
      <c r="N684" s="189">
        <f>IF(Daten!$W684=17,1,0)</f>
        <v>1</v>
      </c>
      <c r="O684" s="190">
        <f ca="1">IF(Daten!$X684=Sprache!$A$70,1,0)</f>
        <v>0</v>
      </c>
      <c r="P684" s="191">
        <f>IF(AND(Daten!$AQ684&lt;=KINVARO!$AW$3,Daten!$AR684&gt;=KINVARO!$AW$3)=TRUE,1,0)</f>
        <v>1</v>
      </c>
      <c r="Q684" s="192">
        <f>IF(AND(Daten!$AA684&lt;=KINVARO!$AW$4,Daten!$AB684&gt;=KINVARO!$AW$4)=TRUE,1,0)</f>
        <v>0</v>
      </c>
      <c r="R684" s="192"/>
      <c r="S684" s="192">
        <f>IF(AND(Daten!$AD684&lt;=Limits!$I$70,Daten!$AE684&gt;=Limits!$I$70)=TRUE,1,0)</f>
        <v>0</v>
      </c>
      <c r="T684" s="193">
        <f ca="1">IF(Daten!$Y684=Sprache!$A$135,1,0)</f>
        <v>0</v>
      </c>
      <c r="U684" s="124" t="str">
        <f ca="1">Sprache!$A$69</f>
        <v>S-35 Откидной подъемник</v>
      </c>
      <c r="V684" s="194">
        <v>13</v>
      </c>
      <c r="W684" s="193">
        <v>17</v>
      </c>
      <c r="X684" s="187" t="str">
        <f ca="1">Sprache!$A$142</f>
        <v>Alu (Rahmen 19mm)</v>
      </c>
      <c r="Y684" s="187" t="str">
        <f ca="1">Sprache!$A$136</f>
        <v>nein</v>
      </c>
      <c r="Z684" s="187" t="str">
        <f ca="1">Sprache!$A$79</f>
        <v>Створка</v>
      </c>
      <c r="AA684" s="187">
        <v>480</v>
      </c>
      <c r="AB684" s="124">
        <v>509</v>
      </c>
      <c r="AC684" s="187"/>
      <c r="AD684" s="195">
        <v>1.8</v>
      </c>
      <c r="AE684" s="196">
        <v>6.5</v>
      </c>
      <c r="AF684" s="263" t="str">
        <f>MID(Tabelle2[[#This Row],[bnr full]],1,4)</f>
        <v>F152</v>
      </c>
      <c r="AG684" s="264" t="str">
        <f>MID(Tabelle2[[#This Row],[bnr full]],5,3)</f>
        <v>000</v>
      </c>
      <c r="AH684" s="265" t="str">
        <f>MID(Tabelle2[[#This Row],[bnr full]],8,3)</f>
        <v>255</v>
      </c>
      <c r="AI684" s="264" t="str">
        <f>MID(Tabelle2[[#This Row],[bnr full]],11,3)</f>
        <v>201</v>
      </c>
      <c r="AJ684" s="252" t="str">
        <f>MID(Tabelle2[[#This Row],[bnr full]],11,3)</f>
        <v>201</v>
      </c>
      <c r="AK684" s="197" t="s">
        <v>809</v>
      </c>
      <c r="AL684" s="124" t="str">
        <f ca="1">Sprache!$A$111</f>
        <v>Комплект (Л + П)</v>
      </c>
      <c r="AM684" s="187" t="s">
        <v>25</v>
      </c>
      <c r="AN684" s="187" t="str">
        <f ca="1">Sprache!$A$120</f>
        <v>Силовой механизм A</v>
      </c>
      <c r="AO684" s="187" t="str">
        <f ca="1">Sprache!$A$147</f>
        <v>Адаптер под алюминиевые рамки к комплекту Kinvaro S-35</v>
      </c>
      <c r="AP684" s="225" t="s">
        <v>814</v>
      </c>
      <c r="AQ684" s="187">
        <v>450</v>
      </c>
      <c r="AR684" s="124">
        <v>1200</v>
      </c>
      <c r="AS684" s="187"/>
      <c r="AT684" s="124"/>
      <c r="AV684"/>
      <c r="AX684" s="10"/>
      <c r="AY684" s="11"/>
      <c r="AZ684" s="2"/>
      <c r="BC684"/>
    </row>
    <row r="685" spans="1:55" hidden="1" x14ac:dyDescent="0.25">
      <c r="A685" s="12" t="str">
        <f ca="1">IF(F685+G685+H685+I685+J685+D685+E685=3,IF(Tabelle2[[#This Row],[Kappe Weiß]]=Limits!$R$29,1,""),"")</f>
        <v/>
      </c>
      <c r="B685" s="12" t="str">
        <f ca="1">IF(G685+H685+I685+J685+E685+F685=2,IF(Tabelle2[[#This Row],[Kappe Weiß]]=Limits!$R$29,1,""),"")</f>
        <v/>
      </c>
      <c r="C685" s="291">
        <v>0</v>
      </c>
      <c r="D685" s="171">
        <f>IF(Limits!$P$5=TRUE,1,0)</f>
        <v>0</v>
      </c>
      <c r="E685" s="172">
        <f>IF(Daten!$P685+Daten!$Q685+Daten!$S685=3,1,0)</f>
        <v>0</v>
      </c>
      <c r="F685" s="173">
        <f ca="1">IF(AND(Limits!$Q$21=TRUE,Daten!O685=1)=TRUE,1,0)</f>
        <v>0</v>
      </c>
      <c r="G685" s="174">
        <f>IF(AND(Limits!$Q$25=TRUE,Daten!N685=1)=TRUE,1,0)</f>
        <v>0</v>
      </c>
      <c r="H685" s="174">
        <f>IF(AND(Limits!$Q$24=TRUE,Daten!M685=1)=TRUE,1,0)</f>
        <v>0</v>
      </c>
      <c r="I685" s="174">
        <f>IF(AND(Limits!$Q$23=TRUE,Daten!L685=1)=TRUE,1,0)</f>
        <v>0</v>
      </c>
      <c r="J685" s="174">
        <f>IF(AND(Limits!$Q$22=TRUE,Daten!K685=1)=TRUE,1,0)</f>
        <v>0</v>
      </c>
      <c r="K685" s="188">
        <f>IF(Daten!$V685=13,1,0)</f>
        <v>1</v>
      </c>
      <c r="L685" s="189">
        <f>IF(Daten!$V685&lt;&gt;Daten!$W685,1,IF(Daten!$V685=14,1,0))</f>
        <v>1</v>
      </c>
      <c r="M685" s="189">
        <f>IF(Daten!$V685&lt;&gt;Daten!$W685,1,IF(Daten!$V685=16,1,0))</f>
        <v>1</v>
      </c>
      <c r="N685" s="189">
        <f>IF(Daten!$W685=17,1,0)</f>
        <v>1</v>
      </c>
      <c r="O685" s="190">
        <f ca="1">IF(Daten!$X685=Sprache!$A$70,1,0)</f>
        <v>0</v>
      </c>
      <c r="P685" s="191">
        <f>IF(AND(Daten!$AQ685&lt;=KINVARO!$AW$3,Daten!$AR685&gt;=KINVARO!$AW$3)=TRUE,1,0)</f>
        <v>1</v>
      </c>
      <c r="Q685" s="192">
        <f>IF(AND(Daten!$AA685&lt;=KINVARO!$AW$4,Daten!$AB685&gt;=KINVARO!$AW$4)=TRUE,1,0)</f>
        <v>0</v>
      </c>
      <c r="R685" s="192"/>
      <c r="S685" s="192">
        <f>IF(AND(Daten!$AD685&lt;=Limits!$I$70,Daten!$AE685&gt;=Limits!$I$70)=TRUE,1,0)</f>
        <v>1</v>
      </c>
      <c r="T685" s="193">
        <f ca="1">IF(Daten!$Y685=Sprache!$A$135,1,0)</f>
        <v>0</v>
      </c>
      <c r="U685" s="124" t="str">
        <f ca="1">Sprache!$A$69</f>
        <v>S-35 Откидной подъемник</v>
      </c>
      <c r="V685" s="194">
        <v>13</v>
      </c>
      <c r="W685" s="193">
        <v>17</v>
      </c>
      <c r="X685" s="187" t="str">
        <f ca="1">Sprache!$A$142</f>
        <v>Alu (Rahmen 19mm)</v>
      </c>
      <c r="Y685" s="187" t="str">
        <f ca="1">Sprache!$A$136</f>
        <v>nein</v>
      </c>
      <c r="Z685" s="187" t="str">
        <f ca="1">Sprache!$A$79</f>
        <v>Створка</v>
      </c>
      <c r="AA685" s="187">
        <v>480</v>
      </c>
      <c r="AB685" s="124">
        <v>509</v>
      </c>
      <c r="AC685" s="187"/>
      <c r="AD685" s="195">
        <v>5</v>
      </c>
      <c r="AE685" s="196">
        <v>12.5</v>
      </c>
      <c r="AF685" s="263" t="str">
        <f>MID(Tabelle2[[#This Row],[bnr full]],1,4)</f>
        <v>F152</v>
      </c>
      <c r="AG685" s="264" t="str">
        <f>MID(Tabelle2[[#This Row],[bnr full]],5,3)</f>
        <v>000</v>
      </c>
      <c r="AH685" s="265" t="str">
        <f>MID(Tabelle2[[#This Row],[bnr full]],8,3)</f>
        <v>256</v>
      </c>
      <c r="AI685" s="264" t="str">
        <f>MID(Tabelle2[[#This Row],[bnr full]],11,3)</f>
        <v>201</v>
      </c>
      <c r="AJ685" s="252" t="str">
        <f>MID(Tabelle2[[#This Row],[bnr full]],11,3)</f>
        <v>201</v>
      </c>
      <c r="AK685" s="197" t="s">
        <v>810</v>
      </c>
      <c r="AL685" s="124" t="str">
        <f ca="1">Sprache!$A$111</f>
        <v>Комплект (Л + П)</v>
      </c>
      <c r="AM685" s="187" t="s">
        <v>25</v>
      </c>
      <c r="AN685" s="187" t="str">
        <f ca="1">Sprache!$A$121</f>
        <v>Силовой механизм B</v>
      </c>
      <c r="AO685" s="187" t="str">
        <f ca="1">Sprache!$A$147</f>
        <v>Адаптер под алюминиевые рамки к комплекту Kinvaro S-35</v>
      </c>
      <c r="AP685" s="225" t="s">
        <v>814</v>
      </c>
      <c r="AQ685" s="187">
        <v>450</v>
      </c>
      <c r="AR685" s="124">
        <v>1200</v>
      </c>
      <c r="AS685" s="187"/>
      <c r="AT685" s="124"/>
      <c r="AV685"/>
      <c r="AX685" s="10"/>
      <c r="AY685" s="11"/>
      <c r="AZ685" s="2"/>
      <c r="BC685"/>
    </row>
    <row r="686" spans="1:55" hidden="1" x14ac:dyDescent="0.25">
      <c r="A686" s="12" t="str">
        <f ca="1">IF(F686+G686+H686+I686+J686+D686+E686=3,IF(Tabelle2[[#This Row],[Kappe Weiß]]=Limits!$R$29,1,""),"")</f>
        <v/>
      </c>
      <c r="B686" s="12" t="str">
        <f ca="1">IF(G686+H686+I686+J686+E686+F686=2,IF(Tabelle2[[#This Row],[Kappe Weiß]]=Limits!$R$29,1,""),"")</f>
        <v/>
      </c>
      <c r="C686" s="292">
        <v>0</v>
      </c>
      <c r="D686" s="171">
        <f>IF(Limits!$P$5=TRUE,1,0)</f>
        <v>0</v>
      </c>
      <c r="E686" s="172">
        <f>IF(Daten!$P686+Daten!$Q686+Daten!$S686=3,1,0)</f>
        <v>0</v>
      </c>
      <c r="F686" s="173">
        <f ca="1">IF(AND(Limits!$Q$21=TRUE,Daten!O686=1)=TRUE,1,0)</f>
        <v>1</v>
      </c>
      <c r="G686" s="174">
        <f ca="1">IF(AND(Limits!$Q$25=TRUE,Daten!N686=1)=TRUE,1,0)</f>
        <v>0</v>
      </c>
      <c r="H686" s="174">
        <f ca="1">IF(AND(Limits!$Q$24=TRUE,Daten!M686=1)=TRUE,1,0)</f>
        <v>0</v>
      </c>
      <c r="I686" s="174">
        <f ca="1">IF(AND(Limits!$Q$23=TRUE,Daten!L686=1)=TRUE,1,0)</f>
        <v>0</v>
      </c>
      <c r="J686" s="174">
        <f ca="1">IF(AND(Limits!$Q$22=TRUE,Daten!K686=1)=TRUE,1,0)</f>
        <v>0</v>
      </c>
      <c r="K686" s="188">
        <f ca="1">IF(Daten!$V686=13,1,0)</f>
        <v>0</v>
      </c>
      <c r="L686" s="189">
        <f ca="1">IF(Daten!$V686&lt;&gt;Daten!$W686,1,IF(Daten!$V686=14,1,0))</f>
        <v>0</v>
      </c>
      <c r="M686" s="189">
        <f ca="1">IF(Daten!$V686&lt;&gt;Daten!$W686,1,IF(Daten!$V686=16,1,0))</f>
        <v>0</v>
      </c>
      <c r="N686" s="189">
        <f ca="1">IF(Daten!$W686=17,1,0)</f>
        <v>0</v>
      </c>
      <c r="O686" s="190">
        <f ca="1">IF(Daten!$X686=Sprache!$A$70,1,0)</f>
        <v>1</v>
      </c>
      <c r="P686" s="198">
        <f>IF(AND(Daten!$AQ686&lt;=KINVARO!$AW$3,Daten!$AR686&gt;=KINVARO!$AW$3)=TRUE,1,0)</f>
        <v>1</v>
      </c>
      <c r="Q686" s="199">
        <f>IF(AND(Daten!$AA686&lt;=KINVARO!$AW$4,Daten!$AB686&gt;=KINVARO!$AW$4)=TRUE,1,0)</f>
        <v>0</v>
      </c>
      <c r="R686" s="199"/>
      <c r="S686" s="199">
        <f>IF(AND(Daten!$AD686&lt;=Limits!$I$70,Daten!$AE686&gt;=Limits!$I$70)=TRUE,1,0)</f>
        <v>0</v>
      </c>
      <c r="T686" s="200">
        <f ca="1">IF(Daten!$Y686=Sprache!$A$135,1,0)</f>
        <v>0</v>
      </c>
      <c r="U686" s="201" t="str">
        <f ca="1">Sprache!$A$69</f>
        <v>S-35 Откидной подъемник</v>
      </c>
      <c r="V686" s="202" t="str">
        <f ca="1">Sprache!$A$74</f>
        <v>var</v>
      </c>
      <c r="W686" s="200" t="str">
        <f ca="1">Sprache!$A$74</f>
        <v>var</v>
      </c>
      <c r="X686" s="203" t="str">
        <f ca="1">Sprache!$A$70</f>
        <v>соединение с древесиной</v>
      </c>
      <c r="Y686" s="187" t="str">
        <f ca="1">Sprache!$A$136</f>
        <v>nein</v>
      </c>
      <c r="Z686" s="203" t="str">
        <f ca="1">Sprache!$A$79</f>
        <v>Створка</v>
      </c>
      <c r="AA686" s="203">
        <v>510</v>
      </c>
      <c r="AB686" s="201">
        <v>539</v>
      </c>
      <c r="AC686" s="203"/>
      <c r="AD686" s="204">
        <v>2</v>
      </c>
      <c r="AE686" s="205">
        <v>6</v>
      </c>
      <c r="AF686" s="266" t="str">
        <f>MID(Tabelle2[[#This Row],[bnr full]],1,4)</f>
        <v>F152</v>
      </c>
      <c r="AG686" s="267" t="str">
        <f>MID(Tabelle2[[#This Row],[bnr full]],5,3)</f>
        <v>000</v>
      </c>
      <c r="AH686" s="268" t="str">
        <f>MID(Tabelle2[[#This Row],[bnr full]],8,3)</f>
        <v>255</v>
      </c>
      <c r="AI686" s="267" t="str">
        <f>MID(Tabelle2[[#This Row],[bnr full]],11,3)</f>
        <v>201</v>
      </c>
      <c r="AJ686" s="253" t="str">
        <f>MID(Tabelle2[[#This Row],[bnr full]],11,3)</f>
        <v>201</v>
      </c>
      <c r="AK686" s="206" t="s">
        <v>809</v>
      </c>
      <c r="AL686" s="201" t="str">
        <f ca="1">Sprache!$A$111</f>
        <v>Комплект (Л + П)</v>
      </c>
      <c r="AM686" s="203" t="s">
        <v>25</v>
      </c>
      <c r="AN686" s="203" t="str">
        <f ca="1">Sprache!$A$120</f>
        <v>Силовой механизм A</v>
      </c>
      <c r="AO686" s="203" t="s">
        <v>25</v>
      </c>
      <c r="AP686" s="203" t="s">
        <v>25</v>
      </c>
      <c r="AQ686" s="203">
        <v>450</v>
      </c>
      <c r="AR686" s="201">
        <v>1200</v>
      </c>
      <c r="AS686" s="187"/>
      <c r="AT686" s="124"/>
      <c r="AV686"/>
      <c r="AX686" s="10"/>
      <c r="AY686" s="11"/>
      <c r="AZ686" s="2"/>
      <c r="BC686"/>
    </row>
    <row r="687" spans="1:55" hidden="1" x14ac:dyDescent="0.25">
      <c r="A687" s="12" t="str">
        <f ca="1">IF(F687+G687+H687+I687+J687+D687+E687=3,IF(Tabelle2[[#This Row],[Kappe Weiß]]=Limits!$R$29,1,""),"")</f>
        <v/>
      </c>
      <c r="B687" s="12" t="str">
        <f ca="1">IF(G687+H687+I687+J687+E687+F687=2,IF(Tabelle2[[#This Row],[Kappe Weiß]]=Limits!$R$29,1,""),"")</f>
        <v/>
      </c>
      <c r="C687" s="291">
        <v>0</v>
      </c>
      <c r="D687" s="171">
        <f>IF(Limits!$P$5=TRUE,1,0)</f>
        <v>0</v>
      </c>
      <c r="E687" s="172">
        <f>IF(Daten!$P687+Daten!$Q687+Daten!$S687=3,1,0)</f>
        <v>0</v>
      </c>
      <c r="F687" s="173">
        <f ca="1">IF(AND(Limits!$Q$21=TRUE,Daten!O687=1)=TRUE,1,0)</f>
        <v>1</v>
      </c>
      <c r="G687" s="174">
        <f ca="1">IF(AND(Limits!$Q$25=TRUE,Daten!N687=1)=TRUE,1,0)</f>
        <v>0</v>
      </c>
      <c r="H687" s="174">
        <f ca="1">IF(AND(Limits!$Q$24=TRUE,Daten!M687=1)=TRUE,1,0)</f>
        <v>0</v>
      </c>
      <c r="I687" s="174">
        <f ca="1">IF(AND(Limits!$Q$23=TRUE,Daten!L687=1)=TRUE,1,0)</f>
        <v>0</v>
      </c>
      <c r="J687" s="174">
        <f ca="1">IF(AND(Limits!$Q$22=TRUE,Daten!K687=1)=TRUE,1,0)</f>
        <v>0</v>
      </c>
      <c r="K687" s="188">
        <f ca="1">IF(Daten!$V687=13,1,0)</f>
        <v>0</v>
      </c>
      <c r="L687" s="189">
        <f ca="1">IF(Daten!$V687&lt;&gt;Daten!$W687,1,IF(Daten!$V687=14,1,0))</f>
        <v>0</v>
      </c>
      <c r="M687" s="189">
        <f ca="1">IF(Daten!$V687&lt;&gt;Daten!$W687,1,IF(Daten!$V687=16,1,0))</f>
        <v>0</v>
      </c>
      <c r="N687" s="189">
        <f ca="1">IF(Daten!$W687=17,1,0)</f>
        <v>0</v>
      </c>
      <c r="O687" s="190">
        <f ca="1">IF(Daten!$X687=Sprache!$A$70,1,0)</f>
        <v>1</v>
      </c>
      <c r="P687" s="191">
        <f>IF(AND(Daten!$AQ687&lt;=KINVARO!$AW$3,Daten!$AR687&gt;=KINVARO!$AW$3)=TRUE,1,0)</f>
        <v>1</v>
      </c>
      <c r="Q687" s="192">
        <f>IF(AND(Daten!$AA687&lt;=KINVARO!$AW$4,Daten!$AB687&gt;=KINVARO!$AW$4)=TRUE,1,0)</f>
        <v>0</v>
      </c>
      <c r="R687" s="192"/>
      <c r="S687" s="192">
        <f>IF(AND(Daten!$AD687&lt;=Limits!$I$70,Daten!$AE687&gt;=Limits!$I$70)=TRUE,1,0)</f>
        <v>1</v>
      </c>
      <c r="T687" s="193">
        <f ca="1">IF(Daten!$Y687=Sprache!$A$135,1,0)</f>
        <v>0</v>
      </c>
      <c r="U687" s="124" t="str">
        <f ca="1">Sprache!$A$69</f>
        <v>S-35 Откидной подъемник</v>
      </c>
      <c r="V687" s="194" t="str">
        <f ca="1">Sprache!$A$74</f>
        <v>var</v>
      </c>
      <c r="W687" s="193" t="str">
        <f ca="1">Sprache!$A$74</f>
        <v>var</v>
      </c>
      <c r="X687" s="187" t="str">
        <f ca="1">Sprache!$A$70</f>
        <v>соединение с древесиной</v>
      </c>
      <c r="Y687" s="187" t="str">
        <f ca="1">Sprache!$A$136</f>
        <v>nein</v>
      </c>
      <c r="Z687" s="187" t="str">
        <f ca="1">Sprache!$A$79</f>
        <v>Створка</v>
      </c>
      <c r="AA687" s="187">
        <v>510</v>
      </c>
      <c r="AB687" s="124">
        <v>539</v>
      </c>
      <c r="AC687" s="187"/>
      <c r="AD687" s="195">
        <v>5</v>
      </c>
      <c r="AE687" s="196">
        <v>13</v>
      </c>
      <c r="AF687" s="263" t="str">
        <f>MID(Tabelle2[[#This Row],[bnr full]],1,4)</f>
        <v>F152</v>
      </c>
      <c r="AG687" s="264" t="str">
        <f>MID(Tabelle2[[#This Row],[bnr full]],5,3)</f>
        <v>000</v>
      </c>
      <c r="AH687" s="265" t="str">
        <f>MID(Tabelle2[[#This Row],[bnr full]],8,3)</f>
        <v>256</v>
      </c>
      <c r="AI687" s="264" t="str">
        <f>MID(Tabelle2[[#This Row],[bnr full]],11,3)</f>
        <v>201</v>
      </c>
      <c r="AJ687" s="252" t="str">
        <f>MID(Tabelle2[[#This Row],[bnr full]],11,3)</f>
        <v>201</v>
      </c>
      <c r="AK687" s="197" t="s">
        <v>810</v>
      </c>
      <c r="AL687" s="124" t="str">
        <f ca="1">Sprache!$A$111</f>
        <v>Комплект (Л + П)</v>
      </c>
      <c r="AM687" s="187" t="s">
        <v>25</v>
      </c>
      <c r="AN687" s="187" t="str">
        <f ca="1">Sprache!$A$121</f>
        <v>Силовой механизм B</v>
      </c>
      <c r="AO687" s="187" t="s">
        <v>25</v>
      </c>
      <c r="AP687" s="187" t="s">
        <v>25</v>
      </c>
      <c r="AQ687" s="187">
        <v>450</v>
      </c>
      <c r="AR687" s="124">
        <v>1200</v>
      </c>
      <c r="AS687" s="187"/>
      <c r="AT687" s="124"/>
      <c r="AV687"/>
      <c r="AX687" s="10"/>
      <c r="AY687" s="11"/>
      <c r="AZ687" s="2"/>
      <c r="BC687"/>
    </row>
    <row r="688" spans="1:55" hidden="1" x14ac:dyDescent="0.25">
      <c r="A688" s="12" t="str">
        <f ca="1">IF(F688+G688+H688+I688+J688+D688+E688=3,IF(Tabelle2[[#This Row],[Kappe Weiß]]=Limits!$R$29,1,""),"")</f>
        <v/>
      </c>
      <c r="B688" s="12" t="str">
        <f ca="1">IF(G688+H688+I688+J688+E688+F688=2,IF(Tabelle2[[#This Row],[Kappe Weiß]]=Limits!$R$29,1,""),"")</f>
        <v/>
      </c>
      <c r="C688" s="291">
        <v>0</v>
      </c>
      <c r="D688" s="171">
        <f>IF(Limits!$P$5=TRUE,1,0)</f>
        <v>0</v>
      </c>
      <c r="E688" s="172">
        <f>IF(Daten!$P688+Daten!$Q688+Daten!$S688=3,1,0)</f>
        <v>0</v>
      </c>
      <c r="F688" s="173">
        <f ca="1">IF(AND(Limits!$Q$21=TRUE,Daten!O688=1)=TRUE,1,0)</f>
        <v>1</v>
      </c>
      <c r="G688" s="174">
        <f ca="1">IF(AND(Limits!$Q$25=TRUE,Daten!N688=1)=TRUE,1,0)</f>
        <v>0</v>
      </c>
      <c r="H688" s="174">
        <f ca="1">IF(AND(Limits!$Q$24=TRUE,Daten!M688=1)=TRUE,1,0)</f>
        <v>0</v>
      </c>
      <c r="I688" s="174">
        <f ca="1">IF(AND(Limits!$Q$23=TRUE,Daten!L688=1)=TRUE,1,0)</f>
        <v>0</v>
      </c>
      <c r="J688" s="174">
        <f ca="1">IF(AND(Limits!$Q$22=TRUE,Daten!K688=1)=TRUE,1,0)</f>
        <v>0</v>
      </c>
      <c r="K688" s="188">
        <f ca="1">IF(Daten!$V688=13,1,0)</f>
        <v>0</v>
      </c>
      <c r="L688" s="189">
        <f ca="1">IF(Daten!$V688&lt;&gt;Daten!$W688,1,IF(Daten!$V688=14,1,0))</f>
        <v>0</v>
      </c>
      <c r="M688" s="189">
        <f ca="1">IF(Daten!$V688&lt;&gt;Daten!$W688,1,IF(Daten!$V688=16,1,0))</f>
        <v>0</v>
      </c>
      <c r="N688" s="189">
        <f ca="1">IF(Daten!$W688=17,1,0)</f>
        <v>0</v>
      </c>
      <c r="O688" s="190">
        <f ca="1">IF(Daten!$X688=Sprache!$A$70,1,0)</f>
        <v>1</v>
      </c>
      <c r="P688" s="191">
        <f>IF(AND(Daten!$AQ688&lt;=KINVARO!$AW$3,Daten!$AR688&gt;=KINVARO!$AW$3)=TRUE,1,0)</f>
        <v>1</v>
      </c>
      <c r="Q688" s="192">
        <f>IF(AND(Daten!$AA688&lt;=KINVARO!$AW$4,Daten!$AB688&gt;=KINVARO!$AW$4)=TRUE,1,0)</f>
        <v>0</v>
      </c>
      <c r="R688" s="192"/>
      <c r="S688" s="192">
        <f>IF(AND(Daten!$AD688&lt;=Limits!$I$70,Daten!$AE688&gt;=Limits!$I$70)=TRUE,1,0)</f>
        <v>1</v>
      </c>
      <c r="T688" s="193">
        <f ca="1">IF(Daten!$Y688=Sprache!$A$135,1,0)</f>
        <v>0</v>
      </c>
      <c r="U688" s="124" t="str">
        <f ca="1">Sprache!$A$69</f>
        <v>S-35 Откидной подъемник</v>
      </c>
      <c r="V688" s="194" t="str">
        <f ca="1">Sprache!$A$74</f>
        <v>var</v>
      </c>
      <c r="W688" s="193" t="str">
        <f ca="1">Sprache!$A$74</f>
        <v>var</v>
      </c>
      <c r="X688" s="187" t="str">
        <f ca="1">Sprache!$A$70</f>
        <v>соединение с древесиной</v>
      </c>
      <c r="Y688" s="187" t="str">
        <f ca="1">Sprache!$A$136</f>
        <v>nein</v>
      </c>
      <c r="Z688" s="187" t="str">
        <f ca="1">Sprache!$A$79</f>
        <v>Створка</v>
      </c>
      <c r="AA688" s="187">
        <v>510</v>
      </c>
      <c r="AB688" s="124">
        <v>539</v>
      </c>
      <c r="AC688" s="187"/>
      <c r="AD688" s="195">
        <v>6</v>
      </c>
      <c r="AE688" s="196">
        <v>14</v>
      </c>
      <c r="AF688" s="263" t="str">
        <f>MID(Tabelle2[[#This Row],[bnr full]],1,4)</f>
        <v>F152</v>
      </c>
      <c r="AG688" s="264" t="str">
        <f>MID(Tabelle2[[#This Row],[bnr full]],5,3)</f>
        <v>000</v>
      </c>
      <c r="AH688" s="265" t="str">
        <f>MID(Tabelle2[[#This Row],[bnr full]],8,3)</f>
        <v>257</v>
      </c>
      <c r="AI688" s="264" t="str">
        <f>MID(Tabelle2[[#This Row],[bnr full]],11,3)</f>
        <v>201</v>
      </c>
      <c r="AJ688" s="252" t="str">
        <f>MID(Tabelle2[[#This Row],[bnr full]],11,3)</f>
        <v>201</v>
      </c>
      <c r="AK688" s="197" t="s">
        <v>811</v>
      </c>
      <c r="AL688" s="124" t="str">
        <f ca="1">Sprache!$A$111</f>
        <v>Комплект (Л + П)</v>
      </c>
      <c r="AM688" s="187" t="s">
        <v>25</v>
      </c>
      <c r="AN688" s="187" t="str">
        <f ca="1">Sprache!$A$122</f>
        <v>Силовой механизм C</v>
      </c>
      <c r="AO688" s="187" t="s">
        <v>25</v>
      </c>
      <c r="AP688" s="187" t="s">
        <v>25</v>
      </c>
      <c r="AQ688" s="187">
        <v>450</v>
      </c>
      <c r="AR688" s="124">
        <v>1200</v>
      </c>
      <c r="AS688" s="187"/>
      <c r="AT688" s="124"/>
      <c r="AV688"/>
      <c r="AX688" s="10"/>
      <c r="AY688" s="11"/>
      <c r="AZ688" s="2"/>
      <c r="BC688"/>
    </row>
    <row r="689" spans="1:55" hidden="1" x14ac:dyDescent="0.25">
      <c r="A689" s="12" t="str">
        <f ca="1">IF(F689+G689+H689+I689+J689+D689+E689=3,IF(Tabelle2[[#This Row],[Kappe Weiß]]=Limits!$R$29,1,""),"")</f>
        <v/>
      </c>
      <c r="B689" s="12" t="str">
        <f ca="1">IF(G689+H689+I689+J689+E689+F689=2,IF(Tabelle2[[#This Row],[Kappe Weiß]]=Limits!$R$29,1,""),"")</f>
        <v/>
      </c>
      <c r="C689" s="291">
        <v>0</v>
      </c>
      <c r="D689" s="171">
        <f>IF(Limits!$P$5=TRUE,1,0)</f>
        <v>0</v>
      </c>
      <c r="E689" s="172">
        <f>IF(Daten!$P689+Daten!$Q689+Daten!$S689=3,1,0)</f>
        <v>0</v>
      </c>
      <c r="F689" s="173">
        <f ca="1">IF(AND(Limits!$Q$21=TRUE,Daten!O689=1)=TRUE,1,0)</f>
        <v>0</v>
      </c>
      <c r="G689" s="174">
        <f>IF(AND(Limits!$Q$25=TRUE,Daten!N689=1)=TRUE,1,0)</f>
        <v>0</v>
      </c>
      <c r="H689" s="174">
        <f>IF(AND(Limits!$Q$24=TRUE,Daten!M689=1)=TRUE,1,0)</f>
        <v>0</v>
      </c>
      <c r="I689" s="174">
        <f>IF(AND(Limits!$Q$23=TRUE,Daten!L689=1)=TRUE,1,0)</f>
        <v>0</v>
      </c>
      <c r="J689" s="174">
        <f>IF(AND(Limits!$Q$22=TRUE,Daten!K689=1)=TRUE,1,0)</f>
        <v>0</v>
      </c>
      <c r="K689" s="188">
        <f>IF(Daten!$V689=13,1,0)</f>
        <v>1</v>
      </c>
      <c r="L689" s="189">
        <f>IF(Daten!$V689&lt;&gt;Daten!$W689,1,IF(Daten!$V689=14,1,0))</f>
        <v>1</v>
      </c>
      <c r="M689" s="189">
        <f>IF(Daten!$V689&lt;&gt;Daten!$W689,1,IF(Daten!$V689=16,1,0))</f>
        <v>1</v>
      </c>
      <c r="N689" s="189">
        <f>IF(Daten!$W689=17,1,0)</f>
        <v>1</v>
      </c>
      <c r="O689" s="190">
        <f ca="1">IF(Daten!$X689=Sprache!$A$70,1,0)</f>
        <v>0</v>
      </c>
      <c r="P689" s="191">
        <f>IF(AND(Daten!$AQ689&lt;=KINVARO!$AW$3,Daten!$AR689&gt;=KINVARO!$AW$3)=TRUE,1,0)</f>
        <v>1</v>
      </c>
      <c r="Q689" s="192">
        <f>IF(AND(Daten!$AA689&lt;=KINVARO!$AW$4,Daten!$AB689&gt;=KINVARO!$AW$4)=TRUE,1,0)</f>
        <v>0</v>
      </c>
      <c r="R689" s="192"/>
      <c r="S689" s="192">
        <f>IF(AND(Daten!$AD689&lt;=Limits!$I$70,Daten!$AE689&gt;=Limits!$I$70)=TRUE,1,0)</f>
        <v>0</v>
      </c>
      <c r="T689" s="193">
        <f ca="1">IF(Daten!$Y689=Sprache!$A$135,1,0)</f>
        <v>0</v>
      </c>
      <c r="U689" s="124" t="str">
        <f ca="1">Sprache!$A$69</f>
        <v>S-35 Откидной подъемник</v>
      </c>
      <c r="V689" s="194">
        <v>13</v>
      </c>
      <c r="W689" s="193">
        <v>17</v>
      </c>
      <c r="X689" s="187" t="str">
        <f ca="1">Sprache!$A$142</f>
        <v>Alu (Rahmen 19mm)</v>
      </c>
      <c r="Y689" s="187" t="str">
        <f ca="1">Sprache!$A$136</f>
        <v>nein</v>
      </c>
      <c r="Z689" s="187" t="str">
        <f ca="1">Sprache!$A$79</f>
        <v>Створка</v>
      </c>
      <c r="AA689" s="187">
        <v>510</v>
      </c>
      <c r="AB689" s="124">
        <v>539</v>
      </c>
      <c r="AC689" s="187"/>
      <c r="AD689" s="195">
        <v>2</v>
      </c>
      <c r="AE689" s="196">
        <v>6</v>
      </c>
      <c r="AF689" s="263" t="str">
        <f>MID(Tabelle2[[#This Row],[bnr full]],1,4)</f>
        <v>F152</v>
      </c>
      <c r="AG689" s="264" t="str">
        <f>MID(Tabelle2[[#This Row],[bnr full]],5,3)</f>
        <v>000</v>
      </c>
      <c r="AH689" s="265" t="str">
        <f>MID(Tabelle2[[#This Row],[bnr full]],8,3)</f>
        <v>255</v>
      </c>
      <c r="AI689" s="264" t="str">
        <f>MID(Tabelle2[[#This Row],[bnr full]],11,3)</f>
        <v>201</v>
      </c>
      <c r="AJ689" s="252" t="str">
        <f>MID(Tabelle2[[#This Row],[bnr full]],11,3)</f>
        <v>201</v>
      </c>
      <c r="AK689" s="197" t="s">
        <v>809</v>
      </c>
      <c r="AL689" s="124" t="str">
        <f ca="1">Sprache!$A$111</f>
        <v>Комплект (Л + П)</v>
      </c>
      <c r="AM689" s="187" t="s">
        <v>25</v>
      </c>
      <c r="AN689" s="187" t="str">
        <f ca="1">Sprache!$A$120</f>
        <v>Силовой механизм A</v>
      </c>
      <c r="AO689" s="187" t="str">
        <f ca="1">Sprache!$A$147</f>
        <v>Адаптер под алюминиевые рамки к комплекту Kinvaro S-35</v>
      </c>
      <c r="AP689" s="225" t="s">
        <v>814</v>
      </c>
      <c r="AQ689" s="187">
        <v>450</v>
      </c>
      <c r="AR689" s="124">
        <v>1200</v>
      </c>
      <c r="AS689" s="187"/>
      <c r="AT689" s="124"/>
      <c r="AV689"/>
      <c r="AX689" s="10"/>
      <c r="AY689" s="11"/>
      <c r="AZ689" s="2"/>
      <c r="BC689"/>
    </row>
    <row r="690" spans="1:55" hidden="1" x14ac:dyDescent="0.25">
      <c r="A690" s="12" t="str">
        <f ca="1">IF(F690+G690+H690+I690+J690+D690+E690=3,IF(Tabelle2[[#This Row],[Kappe Weiß]]=Limits!$R$29,1,""),"")</f>
        <v/>
      </c>
      <c r="B690" s="12" t="str">
        <f ca="1">IF(G690+H690+I690+J690+E690+F690=2,IF(Tabelle2[[#This Row],[Kappe Weiß]]=Limits!$R$29,1,""),"")</f>
        <v/>
      </c>
      <c r="C690" s="291">
        <v>0</v>
      </c>
      <c r="D690" s="171">
        <f>IF(Limits!$P$5=TRUE,1,0)</f>
        <v>0</v>
      </c>
      <c r="E690" s="172">
        <f>IF(Daten!$P690+Daten!$Q690+Daten!$S690=3,1,0)</f>
        <v>0</v>
      </c>
      <c r="F690" s="173">
        <f ca="1">IF(AND(Limits!$Q$21=TRUE,Daten!O690=1)=TRUE,1,0)</f>
        <v>0</v>
      </c>
      <c r="G690" s="174">
        <f>IF(AND(Limits!$Q$25=TRUE,Daten!N690=1)=TRUE,1,0)</f>
        <v>0</v>
      </c>
      <c r="H690" s="174">
        <f>IF(AND(Limits!$Q$24=TRUE,Daten!M690=1)=TRUE,1,0)</f>
        <v>0</v>
      </c>
      <c r="I690" s="174">
        <f>IF(AND(Limits!$Q$23=TRUE,Daten!L690=1)=TRUE,1,0)</f>
        <v>0</v>
      </c>
      <c r="J690" s="174">
        <f>IF(AND(Limits!$Q$22=TRUE,Daten!K690=1)=TRUE,1,0)</f>
        <v>0</v>
      </c>
      <c r="K690" s="188">
        <f>IF(Daten!$V690=13,1,0)</f>
        <v>1</v>
      </c>
      <c r="L690" s="189">
        <f>IF(Daten!$V690&lt;&gt;Daten!$W690,1,IF(Daten!$V690=14,1,0))</f>
        <v>1</v>
      </c>
      <c r="M690" s="189">
        <f>IF(Daten!$V690&lt;&gt;Daten!$W690,1,IF(Daten!$V690=16,1,0))</f>
        <v>1</v>
      </c>
      <c r="N690" s="189">
        <f>IF(Daten!$W690=17,1,0)</f>
        <v>1</v>
      </c>
      <c r="O690" s="190">
        <f ca="1">IF(Daten!$X690=Sprache!$A$70,1,0)</f>
        <v>0</v>
      </c>
      <c r="P690" s="191">
        <f>IF(AND(Daten!$AQ690&lt;=KINVARO!$AW$3,Daten!$AR690&gt;=KINVARO!$AW$3)=TRUE,1,0)</f>
        <v>1</v>
      </c>
      <c r="Q690" s="192">
        <f>IF(AND(Daten!$AA690&lt;=KINVARO!$AW$4,Daten!$AB690&gt;=KINVARO!$AW$4)=TRUE,1,0)</f>
        <v>0</v>
      </c>
      <c r="R690" s="192"/>
      <c r="S690" s="192">
        <f>IF(AND(Daten!$AD690&lt;=Limits!$I$70,Daten!$AE690&gt;=Limits!$I$70)=TRUE,1,0)</f>
        <v>1</v>
      </c>
      <c r="T690" s="193">
        <f ca="1">IF(Daten!$Y690=Sprache!$A$135,1,0)</f>
        <v>0</v>
      </c>
      <c r="U690" s="124" t="str">
        <f ca="1">Sprache!$A$69</f>
        <v>S-35 Откидной подъемник</v>
      </c>
      <c r="V690" s="194">
        <v>13</v>
      </c>
      <c r="W690" s="193">
        <v>17</v>
      </c>
      <c r="X690" s="187" t="str">
        <f ca="1">Sprache!$A$142</f>
        <v>Alu (Rahmen 19mm)</v>
      </c>
      <c r="Y690" s="187" t="str">
        <f ca="1">Sprache!$A$136</f>
        <v>nein</v>
      </c>
      <c r="Z690" s="187" t="str">
        <f ca="1">Sprache!$A$79</f>
        <v>Створка</v>
      </c>
      <c r="AA690" s="187">
        <v>510</v>
      </c>
      <c r="AB690" s="124">
        <v>539</v>
      </c>
      <c r="AC690" s="187"/>
      <c r="AD690" s="195">
        <v>5</v>
      </c>
      <c r="AE690" s="196">
        <v>13</v>
      </c>
      <c r="AF690" s="263" t="str">
        <f>MID(Tabelle2[[#This Row],[bnr full]],1,4)</f>
        <v>F152</v>
      </c>
      <c r="AG690" s="264" t="str">
        <f>MID(Tabelle2[[#This Row],[bnr full]],5,3)</f>
        <v>000</v>
      </c>
      <c r="AH690" s="265" t="str">
        <f>MID(Tabelle2[[#This Row],[bnr full]],8,3)</f>
        <v>256</v>
      </c>
      <c r="AI690" s="264" t="str">
        <f>MID(Tabelle2[[#This Row],[bnr full]],11,3)</f>
        <v>201</v>
      </c>
      <c r="AJ690" s="252" t="str">
        <f>MID(Tabelle2[[#This Row],[bnr full]],11,3)</f>
        <v>201</v>
      </c>
      <c r="AK690" s="197" t="s">
        <v>810</v>
      </c>
      <c r="AL690" s="124" t="str">
        <f ca="1">Sprache!$A$111</f>
        <v>Комплект (Л + П)</v>
      </c>
      <c r="AM690" s="187" t="s">
        <v>25</v>
      </c>
      <c r="AN690" s="187" t="str">
        <f ca="1">Sprache!$A$121</f>
        <v>Силовой механизм B</v>
      </c>
      <c r="AO690" s="187" t="str">
        <f ca="1">Sprache!$A$147</f>
        <v>Адаптер под алюминиевые рамки к комплекту Kinvaro S-35</v>
      </c>
      <c r="AP690" s="225" t="s">
        <v>814</v>
      </c>
      <c r="AQ690" s="187">
        <v>450</v>
      </c>
      <c r="AR690" s="124">
        <v>1200</v>
      </c>
      <c r="AS690" s="187"/>
      <c r="AT690" s="124"/>
      <c r="AV690"/>
      <c r="AX690" s="10"/>
      <c r="AY690" s="11"/>
      <c r="AZ690" s="2"/>
      <c r="BC690"/>
    </row>
    <row r="691" spans="1:55" hidden="1" x14ac:dyDescent="0.25">
      <c r="A691" s="12" t="str">
        <f ca="1">IF(F691+G691+H691+I691+J691+D691+E691=3,IF(Tabelle2[[#This Row],[Kappe Weiß]]=Limits!$R$29,1,""),"")</f>
        <v/>
      </c>
      <c r="B691" s="12" t="str">
        <f ca="1">IF(G691+H691+I691+J691+E691+F691=2,IF(Tabelle2[[#This Row],[Kappe Weiß]]=Limits!$R$29,1,""),"")</f>
        <v/>
      </c>
      <c r="C691" s="291">
        <v>0</v>
      </c>
      <c r="D691" s="171">
        <f>IF(Limits!$P$5=TRUE,1,0)</f>
        <v>0</v>
      </c>
      <c r="E691" s="172">
        <f>IF(Daten!$P691+Daten!$Q691+Daten!$S691=3,1,0)</f>
        <v>0</v>
      </c>
      <c r="F691" s="173">
        <f ca="1">IF(AND(Limits!$Q$21=TRUE,Daten!O691=1)=TRUE,1,0)</f>
        <v>0</v>
      </c>
      <c r="G691" s="174">
        <f>IF(AND(Limits!$Q$25=TRUE,Daten!N691=1)=TRUE,1,0)</f>
        <v>0</v>
      </c>
      <c r="H691" s="174">
        <f>IF(AND(Limits!$Q$24=TRUE,Daten!M691=1)=TRUE,1,0)</f>
        <v>0</v>
      </c>
      <c r="I691" s="174">
        <f>IF(AND(Limits!$Q$23=TRUE,Daten!L691=1)=TRUE,1,0)</f>
        <v>0</v>
      </c>
      <c r="J691" s="174">
        <f>IF(AND(Limits!$Q$22=TRUE,Daten!K691=1)=TRUE,1,0)</f>
        <v>0</v>
      </c>
      <c r="K691" s="188">
        <f>IF(Daten!$V691=13,1,0)</f>
        <v>1</v>
      </c>
      <c r="L691" s="189">
        <f>IF(Daten!$V691&lt;&gt;Daten!$W691,1,IF(Daten!$V691=14,1,0))</f>
        <v>1</v>
      </c>
      <c r="M691" s="189">
        <f>IF(Daten!$V691&lt;&gt;Daten!$W691,1,IF(Daten!$V691=16,1,0))</f>
        <v>1</v>
      </c>
      <c r="N691" s="189">
        <f>IF(Daten!$W691=17,1,0)</f>
        <v>1</v>
      </c>
      <c r="O691" s="190">
        <f ca="1">IF(Daten!$X691=Sprache!$A$70,1,0)</f>
        <v>0</v>
      </c>
      <c r="P691" s="191">
        <f>IF(AND(Daten!$AQ691&lt;=KINVARO!$AW$3,Daten!$AR691&gt;=KINVARO!$AW$3)=TRUE,1,0)</f>
        <v>1</v>
      </c>
      <c r="Q691" s="192">
        <f>IF(AND(Daten!$AA691&lt;=KINVARO!$AW$4,Daten!$AB691&gt;=KINVARO!$AW$4)=TRUE,1,0)</f>
        <v>0</v>
      </c>
      <c r="R691" s="192"/>
      <c r="S691" s="192">
        <f>IF(AND(Daten!$AD691&lt;=Limits!$I$70,Daten!$AE691&gt;=Limits!$I$70)=TRUE,1,0)</f>
        <v>1</v>
      </c>
      <c r="T691" s="193">
        <f ca="1">IF(Daten!$Y691=Sprache!$A$135,1,0)</f>
        <v>0</v>
      </c>
      <c r="U691" s="124" t="str">
        <f ca="1">Sprache!$A$69</f>
        <v>S-35 Откидной подъемник</v>
      </c>
      <c r="V691" s="194">
        <v>13</v>
      </c>
      <c r="W691" s="193">
        <v>17</v>
      </c>
      <c r="X691" s="187" t="str">
        <f ca="1">Sprache!$A$142</f>
        <v>Alu (Rahmen 19mm)</v>
      </c>
      <c r="Y691" s="187" t="str">
        <f ca="1">Sprache!$A$136</f>
        <v>nein</v>
      </c>
      <c r="Z691" s="187" t="str">
        <f ca="1">Sprache!$A$79</f>
        <v>Створка</v>
      </c>
      <c r="AA691" s="187">
        <v>510</v>
      </c>
      <c r="AB691" s="124">
        <v>539</v>
      </c>
      <c r="AC691" s="187"/>
      <c r="AD691" s="195">
        <v>6</v>
      </c>
      <c r="AE691" s="196">
        <v>14</v>
      </c>
      <c r="AF691" s="263" t="str">
        <f>MID(Tabelle2[[#This Row],[bnr full]],1,4)</f>
        <v>F152</v>
      </c>
      <c r="AG691" s="264" t="str">
        <f>MID(Tabelle2[[#This Row],[bnr full]],5,3)</f>
        <v>000</v>
      </c>
      <c r="AH691" s="265" t="str">
        <f>MID(Tabelle2[[#This Row],[bnr full]],8,3)</f>
        <v>257</v>
      </c>
      <c r="AI691" s="264" t="str">
        <f>MID(Tabelle2[[#This Row],[bnr full]],11,3)</f>
        <v>201</v>
      </c>
      <c r="AJ691" s="252" t="str">
        <f>MID(Tabelle2[[#This Row],[bnr full]],11,3)</f>
        <v>201</v>
      </c>
      <c r="AK691" s="197" t="s">
        <v>811</v>
      </c>
      <c r="AL691" s="124" t="str">
        <f ca="1">Sprache!$A$111</f>
        <v>Комплект (Л + П)</v>
      </c>
      <c r="AM691" s="187" t="s">
        <v>25</v>
      </c>
      <c r="AN691" s="187" t="str">
        <f ca="1">Sprache!$A$122</f>
        <v>Силовой механизм C</v>
      </c>
      <c r="AO691" s="187" t="str">
        <f ca="1">Sprache!$A$147</f>
        <v>Адаптер под алюминиевые рамки к комплекту Kinvaro S-35</v>
      </c>
      <c r="AP691" s="225" t="s">
        <v>814</v>
      </c>
      <c r="AQ691" s="187">
        <v>450</v>
      </c>
      <c r="AR691" s="124">
        <v>1200</v>
      </c>
      <c r="AS691" s="187"/>
      <c r="AT691" s="124"/>
      <c r="AV691"/>
      <c r="AX691" s="10"/>
      <c r="AY691" s="11"/>
      <c r="AZ691" s="2"/>
      <c r="BC691"/>
    </row>
    <row r="692" spans="1:55" hidden="1" x14ac:dyDescent="0.25">
      <c r="A692" s="12" t="str">
        <f ca="1">IF(F692+G692+H692+I692+J692+D692+E692=3,IF(Tabelle2[[#This Row],[Kappe Weiß]]=Limits!$R$29,1,""),"")</f>
        <v/>
      </c>
      <c r="B692" s="12" t="str">
        <f ca="1">IF(G692+H692+I692+J692+E692+F692=2,IF(Tabelle2[[#This Row],[Kappe Weiß]]=Limits!$R$29,1,""),"")</f>
        <v/>
      </c>
      <c r="C692" s="292">
        <v>0</v>
      </c>
      <c r="D692" s="171">
        <f>IF(Limits!$P$5=TRUE,1,0)</f>
        <v>0</v>
      </c>
      <c r="E692" s="172">
        <f>IF(Daten!$P692+Daten!$Q692+Daten!$S692=3,1,0)</f>
        <v>0</v>
      </c>
      <c r="F692" s="173">
        <f ca="1">IF(AND(Limits!$Q$21=TRUE,Daten!O692=1)=TRUE,1,0)</f>
        <v>1</v>
      </c>
      <c r="G692" s="174">
        <f ca="1">IF(AND(Limits!$Q$25=TRUE,Daten!N692=1)=TRUE,1,0)</f>
        <v>0</v>
      </c>
      <c r="H692" s="174">
        <f ca="1">IF(AND(Limits!$Q$24=TRUE,Daten!M692=1)=TRUE,1,0)</f>
        <v>0</v>
      </c>
      <c r="I692" s="174">
        <f ca="1">IF(AND(Limits!$Q$23=TRUE,Daten!L692=1)=TRUE,1,0)</f>
        <v>0</v>
      </c>
      <c r="J692" s="174">
        <f ca="1">IF(AND(Limits!$Q$22=TRUE,Daten!K692=1)=TRUE,1,0)</f>
        <v>0</v>
      </c>
      <c r="K692" s="188">
        <f ca="1">IF(Daten!$V692=13,1,0)</f>
        <v>0</v>
      </c>
      <c r="L692" s="189">
        <f ca="1">IF(Daten!$V692&lt;&gt;Daten!$W692,1,IF(Daten!$V692=14,1,0))</f>
        <v>0</v>
      </c>
      <c r="M692" s="189">
        <f ca="1">IF(Daten!$V692&lt;&gt;Daten!$W692,1,IF(Daten!$V692=16,1,0))</f>
        <v>0</v>
      </c>
      <c r="N692" s="189">
        <f ca="1">IF(Daten!$W692=17,1,0)</f>
        <v>0</v>
      </c>
      <c r="O692" s="190">
        <f ca="1">IF(Daten!$X692=Sprache!$A$70,1,0)</f>
        <v>1</v>
      </c>
      <c r="P692" s="198">
        <f>IF(AND(Daten!$AQ692&lt;=KINVARO!$AW$3,Daten!$AR692&gt;=KINVARO!$AW$3)=TRUE,1,0)</f>
        <v>1</v>
      </c>
      <c r="Q692" s="199">
        <f>IF(AND(Daten!$AA692&lt;=KINVARO!$AW$4,Daten!$AB692&gt;=KINVARO!$AW$4)=TRUE,1,0)</f>
        <v>0</v>
      </c>
      <c r="R692" s="199"/>
      <c r="S692" s="199">
        <f>IF(AND(Daten!$AD692&lt;=Limits!$I$70,Daten!$AE692&gt;=Limits!$I$70)=TRUE,1,0)</f>
        <v>0</v>
      </c>
      <c r="T692" s="200">
        <f ca="1">IF(Daten!$Y692=Sprache!$A$135,1,0)</f>
        <v>0</v>
      </c>
      <c r="U692" s="201" t="str">
        <f ca="1">Sprache!$A$69</f>
        <v>S-35 Откидной подъемник</v>
      </c>
      <c r="V692" s="202" t="str">
        <f ca="1">Sprache!$A$74</f>
        <v>var</v>
      </c>
      <c r="W692" s="200" t="str">
        <f ca="1">Sprache!$A$74</f>
        <v>var</v>
      </c>
      <c r="X692" s="203" t="str">
        <f ca="1">Sprache!$A$70</f>
        <v>соединение с древесиной</v>
      </c>
      <c r="Y692" s="187" t="str">
        <f ca="1">Sprache!$A$136</f>
        <v>nein</v>
      </c>
      <c r="Z692" s="203" t="str">
        <f ca="1">Sprache!$A$79</f>
        <v>Створка</v>
      </c>
      <c r="AA692" s="203">
        <v>540</v>
      </c>
      <c r="AB692" s="201">
        <v>569</v>
      </c>
      <c r="AC692" s="203"/>
      <c r="AD692" s="204">
        <v>2</v>
      </c>
      <c r="AE692" s="205">
        <v>6</v>
      </c>
      <c r="AF692" s="266" t="str">
        <f>MID(Tabelle2[[#This Row],[bnr full]],1,4)</f>
        <v>F152</v>
      </c>
      <c r="AG692" s="267" t="str">
        <f>MID(Tabelle2[[#This Row],[bnr full]],5,3)</f>
        <v>000</v>
      </c>
      <c r="AH692" s="268" t="str">
        <f>MID(Tabelle2[[#This Row],[bnr full]],8,3)</f>
        <v>255</v>
      </c>
      <c r="AI692" s="267" t="str">
        <f>MID(Tabelle2[[#This Row],[bnr full]],11,3)</f>
        <v>201</v>
      </c>
      <c r="AJ692" s="253" t="str">
        <f>MID(Tabelle2[[#This Row],[bnr full]],11,3)</f>
        <v>201</v>
      </c>
      <c r="AK692" s="206" t="s">
        <v>809</v>
      </c>
      <c r="AL692" s="201" t="str">
        <f ca="1">Sprache!$A$111</f>
        <v>Комплект (Л + П)</v>
      </c>
      <c r="AM692" s="203" t="s">
        <v>25</v>
      </c>
      <c r="AN692" s="203" t="str">
        <f ca="1">Sprache!$A$120</f>
        <v>Силовой механизм A</v>
      </c>
      <c r="AO692" s="203" t="s">
        <v>25</v>
      </c>
      <c r="AP692" s="203" t="s">
        <v>25</v>
      </c>
      <c r="AQ692" s="203">
        <v>450</v>
      </c>
      <c r="AR692" s="201">
        <v>1200</v>
      </c>
      <c r="AS692" s="187"/>
      <c r="AT692" s="124"/>
      <c r="AV692"/>
      <c r="AX692" s="10"/>
      <c r="AY692" s="11"/>
      <c r="AZ692" s="2"/>
      <c r="BC692"/>
    </row>
    <row r="693" spans="1:55" hidden="1" x14ac:dyDescent="0.25">
      <c r="A693" s="12" t="str">
        <f ca="1">IF(F693+G693+H693+I693+J693+D693+E693=3,IF(Tabelle2[[#This Row],[Kappe Weiß]]=Limits!$R$29,1,""),"")</f>
        <v/>
      </c>
      <c r="B693" s="12" t="str">
        <f ca="1">IF(G693+H693+I693+J693+E693+F693=2,IF(Tabelle2[[#This Row],[Kappe Weiß]]=Limits!$R$29,1,""),"")</f>
        <v/>
      </c>
      <c r="C693" s="291">
        <v>0</v>
      </c>
      <c r="D693" s="171">
        <f>IF(Limits!$P$5=TRUE,1,0)</f>
        <v>0</v>
      </c>
      <c r="E693" s="172">
        <f>IF(Daten!$P693+Daten!$Q693+Daten!$S693=3,1,0)</f>
        <v>0</v>
      </c>
      <c r="F693" s="173">
        <f ca="1">IF(AND(Limits!$Q$21=TRUE,Daten!O693=1)=TRUE,1,0)</f>
        <v>1</v>
      </c>
      <c r="G693" s="174">
        <f ca="1">IF(AND(Limits!$Q$25=TRUE,Daten!N693=1)=TRUE,1,0)</f>
        <v>0</v>
      </c>
      <c r="H693" s="174">
        <f ca="1">IF(AND(Limits!$Q$24=TRUE,Daten!M693=1)=TRUE,1,0)</f>
        <v>0</v>
      </c>
      <c r="I693" s="174">
        <f ca="1">IF(AND(Limits!$Q$23=TRUE,Daten!L693=1)=TRUE,1,0)</f>
        <v>0</v>
      </c>
      <c r="J693" s="174">
        <f ca="1">IF(AND(Limits!$Q$22=TRUE,Daten!K693=1)=TRUE,1,0)</f>
        <v>0</v>
      </c>
      <c r="K693" s="188">
        <f ca="1">IF(Daten!$V693=13,1,0)</f>
        <v>0</v>
      </c>
      <c r="L693" s="189">
        <f ca="1">IF(Daten!$V693&lt;&gt;Daten!$W693,1,IF(Daten!$V693=14,1,0))</f>
        <v>0</v>
      </c>
      <c r="M693" s="189">
        <f ca="1">IF(Daten!$V693&lt;&gt;Daten!$W693,1,IF(Daten!$V693=16,1,0))</f>
        <v>0</v>
      </c>
      <c r="N693" s="189">
        <f ca="1">IF(Daten!$W693=17,1,0)</f>
        <v>0</v>
      </c>
      <c r="O693" s="190">
        <f ca="1">IF(Daten!$X693=Sprache!$A$70,1,0)</f>
        <v>1</v>
      </c>
      <c r="P693" s="191">
        <f>IF(AND(Daten!$AQ693&lt;=KINVARO!$AW$3,Daten!$AR693&gt;=KINVARO!$AW$3)=TRUE,1,0)</f>
        <v>1</v>
      </c>
      <c r="Q693" s="192">
        <f>IF(AND(Daten!$AA693&lt;=KINVARO!$AW$4,Daten!$AB693&gt;=KINVARO!$AW$4)=TRUE,1,0)</f>
        <v>0</v>
      </c>
      <c r="R693" s="192"/>
      <c r="S693" s="192">
        <f>IF(AND(Daten!$AD693&lt;=Limits!$I$70,Daten!$AE693&gt;=Limits!$I$70)=TRUE,1,0)</f>
        <v>1</v>
      </c>
      <c r="T693" s="193">
        <f ca="1">IF(Daten!$Y693=Sprache!$A$135,1,0)</f>
        <v>0</v>
      </c>
      <c r="U693" s="124" t="str">
        <f ca="1">Sprache!$A$69</f>
        <v>S-35 Откидной подъемник</v>
      </c>
      <c r="V693" s="194" t="str">
        <f ca="1">Sprache!$A$74</f>
        <v>var</v>
      </c>
      <c r="W693" s="193" t="str">
        <f ca="1">Sprache!$A$74</f>
        <v>var</v>
      </c>
      <c r="X693" s="187" t="str">
        <f ca="1">Sprache!$A$70</f>
        <v>соединение с древесиной</v>
      </c>
      <c r="Y693" s="187" t="str">
        <f ca="1">Sprache!$A$136</f>
        <v>nein</v>
      </c>
      <c r="Z693" s="187" t="str">
        <f ca="1">Sprache!$A$79</f>
        <v>Створка</v>
      </c>
      <c r="AA693" s="187">
        <v>540</v>
      </c>
      <c r="AB693" s="124">
        <v>569</v>
      </c>
      <c r="AC693" s="187"/>
      <c r="AD693" s="195">
        <v>5</v>
      </c>
      <c r="AE693" s="196">
        <v>12.5</v>
      </c>
      <c r="AF693" s="263" t="str">
        <f>MID(Tabelle2[[#This Row],[bnr full]],1,4)</f>
        <v>F152</v>
      </c>
      <c r="AG693" s="264" t="str">
        <f>MID(Tabelle2[[#This Row],[bnr full]],5,3)</f>
        <v>000</v>
      </c>
      <c r="AH693" s="265" t="str">
        <f>MID(Tabelle2[[#This Row],[bnr full]],8,3)</f>
        <v>256</v>
      </c>
      <c r="AI693" s="264" t="str">
        <f>MID(Tabelle2[[#This Row],[bnr full]],11,3)</f>
        <v>201</v>
      </c>
      <c r="AJ693" s="252" t="str">
        <f>MID(Tabelle2[[#This Row],[bnr full]],11,3)</f>
        <v>201</v>
      </c>
      <c r="AK693" s="197" t="s">
        <v>810</v>
      </c>
      <c r="AL693" s="124" t="str">
        <f ca="1">Sprache!$A$111</f>
        <v>Комплект (Л + П)</v>
      </c>
      <c r="AM693" s="187" t="s">
        <v>25</v>
      </c>
      <c r="AN693" s="187" t="str">
        <f ca="1">Sprache!$A$121</f>
        <v>Силовой механизм B</v>
      </c>
      <c r="AO693" s="187" t="s">
        <v>25</v>
      </c>
      <c r="AP693" s="187" t="s">
        <v>25</v>
      </c>
      <c r="AQ693" s="187">
        <v>450</v>
      </c>
      <c r="AR693" s="124">
        <v>1200</v>
      </c>
      <c r="AS693" s="187"/>
      <c r="AT693" s="124"/>
      <c r="AV693"/>
      <c r="AX693" s="10"/>
      <c r="AY693" s="11"/>
      <c r="AZ693" s="2"/>
      <c r="BC693"/>
    </row>
    <row r="694" spans="1:55" hidden="1" x14ac:dyDescent="0.25">
      <c r="A694" s="12" t="str">
        <f ca="1">IF(F694+G694+H694+I694+J694+D694+E694=3,IF(Tabelle2[[#This Row],[Kappe Weiß]]=Limits!$R$29,1,""),"")</f>
        <v/>
      </c>
      <c r="B694" s="12" t="str">
        <f ca="1">IF(G694+H694+I694+J694+E694+F694=2,IF(Tabelle2[[#This Row],[Kappe Weiß]]=Limits!$R$29,1,""),"")</f>
        <v/>
      </c>
      <c r="C694" s="291">
        <v>0</v>
      </c>
      <c r="D694" s="171">
        <f>IF(Limits!$P$5=TRUE,1,0)</f>
        <v>0</v>
      </c>
      <c r="E694" s="172">
        <f>IF(Daten!$P694+Daten!$Q694+Daten!$S694=3,1,0)</f>
        <v>0</v>
      </c>
      <c r="F694" s="173">
        <f ca="1">IF(AND(Limits!$Q$21=TRUE,Daten!O694=1)=TRUE,1,0)</f>
        <v>1</v>
      </c>
      <c r="G694" s="174">
        <f ca="1">IF(AND(Limits!$Q$25=TRUE,Daten!N694=1)=TRUE,1,0)</f>
        <v>0</v>
      </c>
      <c r="H694" s="174">
        <f ca="1">IF(AND(Limits!$Q$24=TRUE,Daten!M694=1)=TRUE,1,0)</f>
        <v>0</v>
      </c>
      <c r="I694" s="174">
        <f ca="1">IF(AND(Limits!$Q$23=TRUE,Daten!L694=1)=TRUE,1,0)</f>
        <v>0</v>
      </c>
      <c r="J694" s="174">
        <f ca="1">IF(AND(Limits!$Q$22=TRUE,Daten!K694=1)=TRUE,1,0)</f>
        <v>0</v>
      </c>
      <c r="K694" s="188">
        <f ca="1">IF(Daten!$V694=13,1,0)</f>
        <v>0</v>
      </c>
      <c r="L694" s="189">
        <f ca="1">IF(Daten!$V694&lt;&gt;Daten!$W694,1,IF(Daten!$V694=14,1,0))</f>
        <v>0</v>
      </c>
      <c r="M694" s="189">
        <f ca="1">IF(Daten!$V694&lt;&gt;Daten!$W694,1,IF(Daten!$V694=16,1,0))</f>
        <v>0</v>
      </c>
      <c r="N694" s="189">
        <f ca="1">IF(Daten!$W694=17,1,0)</f>
        <v>0</v>
      </c>
      <c r="O694" s="190">
        <f ca="1">IF(Daten!$X694=Sprache!$A$70,1,0)</f>
        <v>1</v>
      </c>
      <c r="P694" s="191">
        <f>IF(AND(Daten!$AQ694&lt;=KINVARO!$AW$3,Daten!$AR694&gt;=KINVARO!$AW$3)=TRUE,1,0)</f>
        <v>1</v>
      </c>
      <c r="Q694" s="192">
        <f>IF(AND(Daten!$AA694&lt;=KINVARO!$AW$4,Daten!$AB694&gt;=KINVARO!$AW$4)=TRUE,1,0)</f>
        <v>0</v>
      </c>
      <c r="R694" s="192"/>
      <c r="S694" s="192">
        <f>IF(AND(Daten!$AD694&lt;=Limits!$I$70,Daten!$AE694&gt;=Limits!$I$70)=TRUE,1,0)</f>
        <v>1</v>
      </c>
      <c r="T694" s="193">
        <f ca="1">IF(Daten!$Y694=Sprache!$A$135,1,0)</f>
        <v>0</v>
      </c>
      <c r="U694" s="124" t="str">
        <f ca="1">Sprache!$A$69</f>
        <v>S-35 Откидной подъемник</v>
      </c>
      <c r="V694" s="194" t="str">
        <f ca="1">Sprache!$A$74</f>
        <v>var</v>
      </c>
      <c r="W694" s="193" t="str">
        <f ca="1">Sprache!$A$74</f>
        <v>var</v>
      </c>
      <c r="X694" s="187" t="str">
        <f ca="1">Sprache!$A$70</f>
        <v>соединение с древесиной</v>
      </c>
      <c r="Y694" s="187" t="str">
        <f ca="1">Sprache!$A$136</f>
        <v>nein</v>
      </c>
      <c r="Z694" s="187" t="str">
        <f ca="1">Sprache!$A$79</f>
        <v>Створка</v>
      </c>
      <c r="AA694" s="187">
        <v>540</v>
      </c>
      <c r="AB694" s="124">
        <v>569</v>
      </c>
      <c r="AC694" s="187"/>
      <c r="AD694" s="195">
        <v>6</v>
      </c>
      <c r="AE694" s="196">
        <v>14</v>
      </c>
      <c r="AF694" s="263" t="str">
        <f>MID(Tabelle2[[#This Row],[bnr full]],1,4)</f>
        <v>F152</v>
      </c>
      <c r="AG694" s="264" t="str">
        <f>MID(Tabelle2[[#This Row],[bnr full]],5,3)</f>
        <v>000</v>
      </c>
      <c r="AH694" s="265" t="str">
        <f>MID(Tabelle2[[#This Row],[bnr full]],8,3)</f>
        <v>257</v>
      </c>
      <c r="AI694" s="264" t="str">
        <f>MID(Tabelle2[[#This Row],[bnr full]],11,3)</f>
        <v>201</v>
      </c>
      <c r="AJ694" s="252" t="str">
        <f>MID(Tabelle2[[#This Row],[bnr full]],11,3)</f>
        <v>201</v>
      </c>
      <c r="AK694" s="197" t="s">
        <v>811</v>
      </c>
      <c r="AL694" s="124" t="str">
        <f ca="1">Sprache!$A$111</f>
        <v>Комплект (Л + П)</v>
      </c>
      <c r="AM694" s="187" t="s">
        <v>25</v>
      </c>
      <c r="AN694" s="187" t="str">
        <f ca="1">Sprache!$A$122</f>
        <v>Силовой механизм C</v>
      </c>
      <c r="AO694" s="187" t="s">
        <v>25</v>
      </c>
      <c r="AP694" s="187" t="s">
        <v>25</v>
      </c>
      <c r="AQ694" s="187">
        <v>450</v>
      </c>
      <c r="AR694" s="124">
        <v>1200</v>
      </c>
      <c r="AS694" s="187"/>
      <c r="AT694" s="124"/>
      <c r="AV694"/>
      <c r="AX694" s="10"/>
      <c r="AY694" s="11"/>
      <c r="AZ694" s="2"/>
      <c r="BC694"/>
    </row>
    <row r="695" spans="1:55" hidden="1" x14ac:dyDescent="0.25">
      <c r="A695" s="12" t="str">
        <f ca="1">IF(F695+G695+H695+I695+J695+D695+E695=3,IF(Tabelle2[[#This Row],[Kappe Weiß]]=Limits!$R$29,1,""),"")</f>
        <v/>
      </c>
      <c r="B695" s="12" t="str">
        <f ca="1">IF(G695+H695+I695+J695+E695+F695=2,IF(Tabelle2[[#This Row],[Kappe Weiß]]=Limits!$R$29,1,""),"")</f>
        <v/>
      </c>
      <c r="C695" s="291">
        <v>0</v>
      </c>
      <c r="D695" s="171">
        <f>IF(Limits!$P$5=TRUE,1,0)</f>
        <v>0</v>
      </c>
      <c r="E695" s="172">
        <f>IF(Daten!$P695+Daten!$Q695+Daten!$S695=3,1,0)</f>
        <v>0</v>
      </c>
      <c r="F695" s="173">
        <f ca="1">IF(AND(Limits!$Q$21=TRUE,Daten!O695=1)=TRUE,1,0)</f>
        <v>0</v>
      </c>
      <c r="G695" s="174">
        <f>IF(AND(Limits!$Q$25=TRUE,Daten!N695=1)=TRUE,1,0)</f>
        <v>0</v>
      </c>
      <c r="H695" s="174">
        <f>IF(AND(Limits!$Q$24=TRUE,Daten!M695=1)=TRUE,1,0)</f>
        <v>0</v>
      </c>
      <c r="I695" s="174">
        <f>IF(AND(Limits!$Q$23=TRUE,Daten!L695=1)=TRUE,1,0)</f>
        <v>0</v>
      </c>
      <c r="J695" s="174">
        <f>IF(AND(Limits!$Q$22=TRUE,Daten!K695=1)=TRUE,1,0)</f>
        <v>0</v>
      </c>
      <c r="K695" s="188">
        <f>IF(Daten!$V695=13,1,0)</f>
        <v>1</v>
      </c>
      <c r="L695" s="189">
        <f>IF(Daten!$V695&lt;&gt;Daten!$W695,1,IF(Daten!$V695=14,1,0))</f>
        <v>1</v>
      </c>
      <c r="M695" s="189">
        <f>IF(Daten!$V695&lt;&gt;Daten!$W695,1,IF(Daten!$V695=16,1,0))</f>
        <v>1</v>
      </c>
      <c r="N695" s="189">
        <f>IF(Daten!$W695=17,1,0)</f>
        <v>1</v>
      </c>
      <c r="O695" s="190">
        <f ca="1">IF(Daten!$X695=Sprache!$A$70,1,0)</f>
        <v>0</v>
      </c>
      <c r="P695" s="191">
        <f>IF(AND(Daten!$AQ695&lt;=KINVARO!$AW$3,Daten!$AR695&gt;=KINVARO!$AW$3)=TRUE,1,0)</f>
        <v>1</v>
      </c>
      <c r="Q695" s="192">
        <f>IF(AND(Daten!$AA695&lt;=KINVARO!$AW$4,Daten!$AB695&gt;=KINVARO!$AW$4)=TRUE,1,0)</f>
        <v>0</v>
      </c>
      <c r="R695" s="192"/>
      <c r="S695" s="192">
        <f>IF(AND(Daten!$AD695&lt;=Limits!$I$70,Daten!$AE695&gt;=Limits!$I$70)=TRUE,1,0)</f>
        <v>0</v>
      </c>
      <c r="T695" s="193">
        <f ca="1">IF(Daten!$Y695=Sprache!$A$135,1,0)</f>
        <v>0</v>
      </c>
      <c r="U695" s="124" t="str">
        <f ca="1">Sprache!$A$69</f>
        <v>S-35 Откидной подъемник</v>
      </c>
      <c r="V695" s="194">
        <v>13</v>
      </c>
      <c r="W695" s="193">
        <v>17</v>
      </c>
      <c r="X695" s="187" t="str">
        <f ca="1">Sprache!$A$142</f>
        <v>Alu (Rahmen 19mm)</v>
      </c>
      <c r="Y695" s="187" t="str">
        <f ca="1">Sprache!$A$136</f>
        <v>nein</v>
      </c>
      <c r="Z695" s="187" t="str">
        <f ca="1">Sprache!$A$79</f>
        <v>Створка</v>
      </c>
      <c r="AA695" s="187">
        <v>540</v>
      </c>
      <c r="AB695" s="124">
        <v>569</v>
      </c>
      <c r="AC695" s="187"/>
      <c r="AD695" s="195">
        <v>2</v>
      </c>
      <c r="AE695" s="196">
        <v>6</v>
      </c>
      <c r="AF695" s="263" t="str">
        <f>MID(Tabelle2[[#This Row],[bnr full]],1,4)</f>
        <v>F152</v>
      </c>
      <c r="AG695" s="264" t="str">
        <f>MID(Tabelle2[[#This Row],[bnr full]],5,3)</f>
        <v>000</v>
      </c>
      <c r="AH695" s="265" t="str">
        <f>MID(Tabelle2[[#This Row],[bnr full]],8,3)</f>
        <v>255</v>
      </c>
      <c r="AI695" s="264" t="str">
        <f>MID(Tabelle2[[#This Row],[bnr full]],11,3)</f>
        <v>201</v>
      </c>
      <c r="AJ695" s="252" t="str">
        <f>MID(Tabelle2[[#This Row],[bnr full]],11,3)</f>
        <v>201</v>
      </c>
      <c r="AK695" s="197" t="s">
        <v>809</v>
      </c>
      <c r="AL695" s="124" t="str">
        <f ca="1">Sprache!$A$111</f>
        <v>Комплект (Л + П)</v>
      </c>
      <c r="AM695" s="187" t="s">
        <v>25</v>
      </c>
      <c r="AN695" s="187" t="str">
        <f ca="1">Sprache!$A$120</f>
        <v>Силовой механизм A</v>
      </c>
      <c r="AO695" s="187" t="str">
        <f ca="1">Sprache!$A$147</f>
        <v>Адаптер под алюминиевые рамки к комплекту Kinvaro S-35</v>
      </c>
      <c r="AP695" s="225" t="s">
        <v>814</v>
      </c>
      <c r="AQ695" s="187">
        <v>450</v>
      </c>
      <c r="AR695" s="124">
        <v>1200</v>
      </c>
      <c r="AS695" s="187"/>
      <c r="AT695" s="124"/>
      <c r="AV695"/>
      <c r="AX695" s="10"/>
      <c r="AY695" s="11"/>
      <c r="AZ695" s="2"/>
      <c r="BC695"/>
    </row>
    <row r="696" spans="1:55" hidden="1" x14ac:dyDescent="0.25">
      <c r="A696" s="12" t="str">
        <f ca="1">IF(F696+G696+H696+I696+J696+D696+E696=3,IF(Tabelle2[[#This Row],[Kappe Weiß]]=Limits!$R$29,1,""),"")</f>
        <v/>
      </c>
      <c r="B696" s="12" t="str">
        <f ca="1">IF(G696+H696+I696+J696+E696+F696=2,IF(Tabelle2[[#This Row],[Kappe Weiß]]=Limits!$R$29,1,""),"")</f>
        <v/>
      </c>
      <c r="C696" s="291">
        <v>0</v>
      </c>
      <c r="D696" s="171">
        <f>IF(Limits!$P$5=TRUE,1,0)</f>
        <v>0</v>
      </c>
      <c r="E696" s="172">
        <f>IF(Daten!$P696+Daten!$Q696+Daten!$S696=3,1,0)</f>
        <v>0</v>
      </c>
      <c r="F696" s="173">
        <f ca="1">IF(AND(Limits!$Q$21=TRUE,Daten!O696=1)=TRUE,1,0)</f>
        <v>0</v>
      </c>
      <c r="G696" s="174">
        <f>IF(AND(Limits!$Q$25=TRUE,Daten!N696=1)=TRUE,1,0)</f>
        <v>0</v>
      </c>
      <c r="H696" s="174">
        <f>IF(AND(Limits!$Q$24=TRUE,Daten!M696=1)=TRUE,1,0)</f>
        <v>0</v>
      </c>
      <c r="I696" s="174">
        <f>IF(AND(Limits!$Q$23=TRUE,Daten!L696=1)=TRUE,1,0)</f>
        <v>0</v>
      </c>
      <c r="J696" s="174">
        <f>IF(AND(Limits!$Q$22=TRUE,Daten!K696=1)=TRUE,1,0)</f>
        <v>0</v>
      </c>
      <c r="K696" s="188">
        <f>IF(Daten!$V696=13,1,0)</f>
        <v>1</v>
      </c>
      <c r="L696" s="189">
        <f>IF(Daten!$V696&lt;&gt;Daten!$W696,1,IF(Daten!$V696=14,1,0))</f>
        <v>1</v>
      </c>
      <c r="M696" s="189">
        <f>IF(Daten!$V696&lt;&gt;Daten!$W696,1,IF(Daten!$V696=16,1,0))</f>
        <v>1</v>
      </c>
      <c r="N696" s="189">
        <f>IF(Daten!$W696=17,1,0)</f>
        <v>1</v>
      </c>
      <c r="O696" s="190">
        <f ca="1">IF(Daten!$X696=Sprache!$A$70,1,0)</f>
        <v>0</v>
      </c>
      <c r="P696" s="191">
        <f>IF(AND(Daten!$AQ696&lt;=KINVARO!$AW$3,Daten!$AR696&gt;=KINVARO!$AW$3)=TRUE,1,0)</f>
        <v>1</v>
      </c>
      <c r="Q696" s="192">
        <f>IF(AND(Daten!$AA696&lt;=KINVARO!$AW$4,Daten!$AB696&gt;=KINVARO!$AW$4)=TRUE,1,0)</f>
        <v>0</v>
      </c>
      <c r="R696" s="192"/>
      <c r="S696" s="192">
        <f>IF(AND(Daten!$AD696&lt;=Limits!$I$70,Daten!$AE696&gt;=Limits!$I$70)=TRUE,1,0)</f>
        <v>1</v>
      </c>
      <c r="T696" s="193">
        <f ca="1">IF(Daten!$Y696=Sprache!$A$135,1,0)</f>
        <v>0</v>
      </c>
      <c r="U696" s="124" t="str">
        <f ca="1">Sprache!$A$69</f>
        <v>S-35 Откидной подъемник</v>
      </c>
      <c r="V696" s="194">
        <v>13</v>
      </c>
      <c r="W696" s="193">
        <v>17</v>
      </c>
      <c r="X696" s="187" t="str">
        <f ca="1">Sprache!$A$142</f>
        <v>Alu (Rahmen 19mm)</v>
      </c>
      <c r="Y696" s="187" t="str">
        <f ca="1">Sprache!$A$136</f>
        <v>nein</v>
      </c>
      <c r="Z696" s="187" t="str">
        <f ca="1">Sprache!$A$79</f>
        <v>Створка</v>
      </c>
      <c r="AA696" s="187">
        <v>540</v>
      </c>
      <c r="AB696" s="124">
        <v>569</v>
      </c>
      <c r="AC696" s="187"/>
      <c r="AD696" s="195">
        <v>5</v>
      </c>
      <c r="AE696" s="196">
        <v>12.5</v>
      </c>
      <c r="AF696" s="263" t="str">
        <f>MID(Tabelle2[[#This Row],[bnr full]],1,4)</f>
        <v>F152</v>
      </c>
      <c r="AG696" s="264" t="str">
        <f>MID(Tabelle2[[#This Row],[bnr full]],5,3)</f>
        <v>000</v>
      </c>
      <c r="AH696" s="265" t="str">
        <f>MID(Tabelle2[[#This Row],[bnr full]],8,3)</f>
        <v>256</v>
      </c>
      <c r="AI696" s="264" t="str">
        <f>MID(Tabelle2[[#This Row],[bnr full]],11,3)</f>
        <v>201</v>
      </c>
      <c r="AJ696" s="252" t="str">
        <f>MID(Tabelle2[[#This Row],[bnr full]],11,3)</f>
        <v>201</v>
      </c>
      <c r="AK696" s="197" t="s">
        <v>810</v>
      </c>
      <c r="AL696" s="124" t="str">
        <f ca="1">Sprache!$A$111</f>
        <v>Комплект (Л + П)</v>
      </c>
      <c r="AM696" s="187" t="s">
        <v>25</v>
      </c>
      <c r="AN696" s="187" t="str">
        <f ca="1">Sprache!$A$121</f>
        <v>Силовой механизм B</v>
      </c>
      <c r="AO696" s="187" t="str">
        <f ca="1">Sprache!$A$147</f>
        <v>Адаптер под алюминиевые рамки к комплекту Kinvaro S-35</v>
      </c>
      <c r="AP696" s="225" t="s">
        <v>814</v>
      </c>
      <c r="AQ696" s="187">
        <v>450</v>
      </c>
      <c r="AR696" s="124">
        <v>1200</v>
      </c>
      <c r="AS696" s="187"/>
      <c r="AT696" s="124"/>
      <c r="AV696"/>
      <c r="AX696" s="10"/>
      <c r="AY696" s="11"/>
      <c r="AZ696" s="2"/>
      <c r="BC696"/>
    </row>
    <row r="697" spans="1:55" hidden="1" x14ac:dyDescent="0.25">
      <c r="A697" s="12" t="str">
        <f ca="1">IF(F697+G697+H697+I697+J697+D697+E697=3,IF(Tabelle2[[#This Row],[Kappe Weiß]]=Limits!$R$29,1,""),"")</f>
        <v/>
      </c>
      <c r="B697" s="12" t="str">
        <f ca="1">IF(G697+H697+I697+J697+E697+F697=2,IF(Tabelle2[[#This Row],[Kappe Weiß]]=Limits!$R$29,1,""),"")</f>
        <v/>
      </c>
      <c r="C697" s="291">
        <v>0</v>
      </c>
      <c r="D697" s="171">
        <f>IF(Limits!$P$5=TRUE,1,0)</f>
        <v>0</v>
      </c>
      <c r="E697" s="172">
        <f>IF(Daten!$P697+Daten!$Q697+Daten!$S697=3,1,0)</f>
        <v>0</v>
      </c>
      <c r="F697" s="173">
        <f ca="1">IF(AND(Limits!$Q$21=TRUE,Daten!O697=1)=TRUE,1,0)</f>
        <v>0</v>
      </c>
      <c r="G697" s="174">
        <f>IF(AND(Limits!$Q$25=TRUE,Daten!N697=1)=TRUE,1,0)</f>
        <v>0</v>
      </c>
      <c r="H697" s="174">
        <f>IF(AND(Limits!$Q$24=TRUE,Daten!M697=1)=TRUE,1,0)</f>
        <v>0</v>
      </c>
      <c r="I697" s="174">
        <f>IF(AND(Limits!$Q$23=TRUE,Daten!L697=1)=TRUE,1,0)</f>
        <v>0</v>
      </c>
      <c r="J697" s="174">
        <f>IF(AND(Limits!$Q$22=TRUE,Daten!K697=1)=TRUE,1,0)</f>
        <v>0</v>
      </c>
      <c r="K697" s="188">
        <f>IF(Daten!$V697=13,1,0)</f>
        <v>1</v>
      </c>
      <c r="L697" s="189">
        <f>IF(Daten!$V697&lt;&gt;Daten!$W697,1,IF(Daten!$V697=14,1,0))</f>
        <v>1</v>
      </c>
      <c r="M697" s="189">
        <f>IF(Daten!$V697&lt;&gt;Daten!$W697,1,IF(Daten!$V697=16,1,0))</f>
        <v>1</v>
      </c>
      <c r="N697" s="189">
        <f>IF(Daten!$W697=17,1,0)</f>
        <v>1</v>
      </c>
      <c r="O697" s="190">
        <f ca="1">IF(Daten!$X697=Sprache!$A$70,1,0)</f>
        <v>0</v>
      </c>
      <c r="P697" s="191">
        <f>IF(AND(Daten!$AQ697&lt;=KINVARO!$AW$3,Daten!$AR697&gt;=KINVARO!$AW$3)=TRUE,1,0)</f>
        <v>1</v>
      </c>
      <c r="Q697" s="192">
        <f>IF(AND(Daten!$AA697&lt;=KINVARO!$AW$4,Daten!$AB697&gt;=KINVARO!$AW$4)=TRUE,1,0)</f>
        <v>0</v>
      </c>
      <c r="R697" s="192"/>
      <c r="S697" s="192">
        <f>IF(AND(Daten!$AD697&lt;=Limits!$I$70,Daten!$AE697&gt;=Limits!$I$70)=TRUE,1,0)</f>
        <v>1</v>
      </c>
      <c r="T697" s="193">
        <f ca="1">IF(Daten!$Y697=Sprache!$A$135,1,0)</f>
        <v>0</v>
      </c>
      <c r="U697" s="124" t="str">
        <f ca="1">Sprache!$A$69</f>
        <v>S-35 Откидной подъемник</v>
      </c>
      <c r="V697" s="194">
        <v>13</v>
      </c>
      <c r="W697" s="193">
        <v>17</v>
      </c>
      <c r="X697" s="187" t="str">
        <f ca="1">Sprache!$A$142</f>
        <v>Alu (Rahmen 19mm)</v>
      </c>
      <c r="Y697" s="187" t="str">
        <f ca="1">Sprache!$A$136</f>
        <v>nein</v>
      </c>
      <c r="Z697" s="187" t="str">
        <f ca="1">Sprache!$A$79</f>
        <v>Створка</v>
      </c>
      <c r="AA697" s="187">
        <v>540</v>
      </c>
      <c r="AB697" s="124">
        <v>569</v>
      </c>
      <c r="AC697" s="187"/>
      <c r="AD697" s="195">
        <v>6</v>
      </c>
      <c r="AE697" s="196">
        <v>14</v>
      </c>
      <c r="AF697" s="263" t="str">
        <f>MID(Tabelle2[[#This Row],[bnr full]],1,4)</f>
        <v>F152</v>
      </c>
      <c r="AG697" s="264" t="str">
        <f>MID(Tabelle2[[#This Row],[bnr full]],5,3)</f>
        <v>000</v>
      </c>
      <c r="AH697" s="265" t="str">
        <f>MID(Tabelle2[[#This Row],[bnr full]],8,3)</f>
        <v>257</v>
      </c>
      <c r="AI697" s="264" t="str">
        <f>MID(Tabelle2[[#This Row],[bnr full]],11,3)</f>
        <v>201</v>
      </c>
      <c r="AJ697" s="252" t="str">
        <f>MID(Tabelle2[[#This Row],[bnr full]],11,3)</f>
        <v>201</v>
      </c>
      <c r="AK697" s="197" t="s">
        <v>811</v>
      </c>
      <c r="AL697" s="124" t="str">
        <f ca="1">Sprache!$A$111</f>
        <v>Комплект (Л + П)</v>
      </c>
      <c r="AM697" s="187" t="s">
        <v>25</v>
      </c>
      <c r="AN697" s="187" t="str">
        <f ca="1">Sprache!$A$122</f>
        <v>Силовой механизм C</v>
      </c>
      <c r="AO697" s="187" t="str">
        <f ca="1">Sprache!$A$147</f>
        <v>Адаптер под алюминиевые рамки к комплекту Kinvaro S-35</v>
      </c>
      <c r="AP697" s="225" t="s">
        <v>814</v>
      </c>
      <c r="AQ697" s="187">
        <v>450</v>
      </c>
      <c r="AR697" s="124">
        <v>1200</v>
      </c>
      <c r="AS697" s="187"/>
      <c r="AT697" s="124"/>
      <c r="AV697"/>
      <c r="AX697" s="10"/>
      <c r="AY697" s="11"/>
      <c r="AZ697" s="2"/>
      <c r="BC697"/>
    </row>
    <row r="698" spans="1:55" hidden="1" x14ac:dyDescent="0.25">
      <c r="A698" s="12" t="str">
        <f ca="1">IF(F698+G698+H698+I698+J698+D698+E698=3,IF(Tabelle2[[#This Row],[Kappe Weiß]]=Limits!$R$29,1,""),"")</f>
        <v/>
      </c>
      <c r="B698" s="12" t="str">
        <f ca="1">IF(G698+H698+I698+J698+E698+F698=2,IF(Tabelle2[[#This Row],[Kappe Weiß]]=Limits!$R$29,1,""),"")</f>
        <v/>
      </c>
      <c r="C698" s="292">
        <v>0</v>
      </c>
      <c r="D698" s="171">
        <f>IF(Limits!$P$5=TRUE,1,0)</f>
        <v>0</v>
      </c>
      <c r="E698" s="172">
        <f>IF(Daten!$P698+Daten!$Q698+Daten!$S698=3,1,0)</f>
        <v>0</v>
      </c>
      <c r="F698" s="173">
        <f ca="1">IF(AND(Limits!$Q$21=TRUE,Daten!O698=1)=TRUE,1,0)</f>
        <v>1</v>
      </c>
      <c r="G698" s="174">
        <f ca="1">IF(AND(Limits!$Q$25=TRUE,Daten!N698=1)=TRUE,1,0)</f>
        <v>0</v>
      </c>
      <c r="H698" s="174">
        <f ca="1">IF(AND(Limits!$Q$24=TRUE,Daten!M698=1)=TRUE,1,0)</f>
        <v>0</v>
      </c>
      <c r="I698" s="174">
        <f ca="1">IF(AND(Limits!$Q$23=TRUE,Daten!L698=1)=TRUE,1,0)</f>
        <v>0</v>
      </c>
      <c r="J698" s="174">
        <f ca="1">IF(AND(Limits!$Q$22=TRUE,Daten!K698=1)=TRUE,1,0)</f>
        <v>0</v>
      </c>
      <c r="K698" s="188">
        <f ca="1">IF(Daten!$V698=13,1,0)</f>
        <v>0</v>
      </c>
      <c r="L698" s="189">
        <f ca="1">IF(Daten!$V698&lt;&gt;Daten!$W698,1,IF(Daten!$V698=14,1,0))</f>
        <v>0</v>
      </c>
      <c r="M698" s="189">
        <f ca="1">IF(Daten!$V698&lt;&gt;Daten!$W698,1,IF(Daten!$V698=16,1,0))</f>
        <v>0</v>
      </c>
      <c r="N698" s="189">
        <f ca="1">IF(Daten!$W698=17,1,0)</f>
        <v>0</v>
      </c>
      <c r="O698" s="190">
        <f ca="1">IF(Daten!$X698=Sprache!$A$70,1,0)</f>
        <v>1</v>
      </c>
      <c r="P698" s="198">
        <f>IF(AND(Daten!$AQ698&lt;=KINVARO!$AW$3,Daten!$AR698&gt;=KINVARO!$AW$3)=TRUE,1,0)</f>
        <v>1</v>
      </c>
      <c r="Q698" s="199">
        <f>IF(AND(Daten!$AA698&lt;=KINVARO!$AW$4,Daten!$AB698&gt;=KINVARO!$AW$4)=TRUE,1,0)</f>
        <v>0</v>
      </c>
      <c r="R698" s="199"/>
      <c r="S698" s="199">
        <f>IF(AND(Daten!$AD698&lt;=Limits!$I$70,Daten!$AE698&gt;=Limits!$I$70)=TRUE,1,0)</f>
        <v>0</v>
      </c>
      <c r="T698" s="200">
        <f ca="1">IF(Daten!$Y698=Sprache!$A$135,1,0)</f>
        <v>0</v>
      </c>
      <c r="U698" s="201" t="str">
        <f ca="1">Sprache!$A$69</f>
        <v>S-35 Откидной подъемник</v>
      </c>
      <c r="V698" s="202" t="str">
        <f ca="1">Sprache!$A$74</f>
        <v>var</v>
      </c>
      <c r="W698" s="200" t="str">
        <f ca="1">Sprache!$A$74</f>
        <v>var</v>
      </c>
      <c r="X698" s="203" t="str">
        <f ca="1">Sprache!$A$70</f>
        <v>соединение с древесиной</v>
      </c>
      <c r="Y698" s="187" t="str">
        <f ca="1">Sprache!$A$136</f>
        <v>nein</v>
      </c>
      <c r="Z698" s="203" t="str">
        <f ca="1">Sprache!$A$79</f>
        <v>Створка</v>
      </c>
      <c r="AA698" s="203">
        <v>570</v>
      </c>
      <c r="AB698" s="201">
        <v>599</v>
      </c>
      <c r="AC698" s="203"/>
      <c r="AD698" s="204">
        <v>2</v>
      </c>
      <c r="AE698" s="205">
        <v>6</v>
      </c>
      <c r="AF698" s="266" t="str">
        <f>MID(Tabelle2[[#This Row],[bnr full]],1,4)</f>
        <v>F152</v>
      </c>
      <c r="AG698" s="267" t="str">
        <f>MID(Tabelle2[[#This Row],[bnr full]],5,3)</f>
        <v>000</v>
      </c>
      <c r="AH698" s="268" t="str">
        <f>MID(Tabelle2[[#This Row],[bnr full]],8,3)</f>
        <v>255</v>
      </c>
      <c r="AI698" s="267" t="str">
        <f>MID(Tabelle2[[#This Row],[bnr full]],11,3)</f>
        <v>201</v>
      </c>
      <c r="AJ698" s="253" t="str">
        <f>MID(Tabelle2[[#This Row],[bnr full]],11,3)</f>
        <v>201</v>
      </c>
      <c r="AK698" s="206" t="s">
        <v>809</v>
      </c>
      <c r="AL698" s="201" t="str">
        <f ca="1">Sprache!$A$111</f>
        <v>Комплект (Л + П)</v>
      </c>
      <c r="AM698" s="203" t="s">
        <v>25</v>
      </c>
      <c r="AN698" s="203" t="str">
        <f ca="1">Sprache!$A$120</f>
        <v>Силовой механизм A</v>
      </c>
      <c r="AO698" s="203" t="s">
        <v>25</v>
      </c>
      <c r="AP698" s="203" t="s">
        <v>25</v>
      </c>
      <c r="AQ698" s="203">
        <v>450</v>
      </c>
      <c r="AR698" s="201">
        <v>1200</v>
      </c>
      <c r="AS698" s="187"/>
      <c r="AT698" s="124"/>
      <c r="AV698"/>
      <c r="AX698" s="10"/>
      <c r="AY698" s="11"/>
      <c r="AZ698" s="2"/>
      <c r="BC698"/>
    </row>
    <row r="699" spans="1:55" hidden="1" x14ac:dyDescent="0.25">
      <c r="A699" s="12" t="str">
        <f ca="1">IF(F699+G699+H699+I699+J699+D699+E699=3,IF(Tabelle2[[#This Row],[Kappe Weiß]]=Limits!$R$29,1,""),"")</f>
        <v/>
      </c>
      <c r="B699" s="12" t="str">
        <f ca="1">IF(G699+H699+I699+J699+E699+F699=2,IF(Tabelle2[[#This Row],[Kappe Weiß]]=Limits!$R$29,1,""),"")</f>
        <v/>
      </c>
      <c r="C699" s="291">
        <v>0</v>
      </c>
      <c r="D699" s="171">
        <f>IF(Limits!$P$5=TRUE,1,0)</f>
        <v>0</v>
      </c>
      <c r="E699" s="172">
        <f>IF(Daten!$P699+Daten!$Q699+Daten!$S699=3,1,0)</f>
        <v>0</v>
      </c>
      <c r="F699" s="173">
        <f ca="1">IF(AND(Limits!$Q$21=TRUE,Daten!O699=1)=TRUE,1,0)</f>
        <v>1</v>
      </c>
      <c r="G699" s="174">
        <f ca="1">IF(AND(Limits!$Q$25=TRUE,Daten!N699=1)=TRUE,1,0)</f>
        <v>0</v>
      </c>
      <c r="H699" s="174">
        <f ca="1">IF(AND(Limits!$Q$24=TRUE,Daten!M699=1)=TRUE,1,0)</f>
        <v>0</v>
      </c>
      <c r="I699" s="174">
        <f ca="1">IF(AND(Limits!$Q$23=TRUE,Daten!L699=1)=TRUE,1,0)</f>
        <v>0</v>
      </c>
      <c r="J699" s="174">
        <f ca="1">IF(AND(Limits!$Q$22=TRUE,Daten!K699=1)=TRUE,1,0)</f>
        <v>0</v>
      </c>
      <c r="K699" s="188">
        <f ca="1">IF(Daten!$V699=13,1,0)</f>
        <v>0</v>
      </c>
      <c r="L699" s="189">
        <f ca="1">IF(Daten!$V699&lt;&gt;Daten!$W699,1,IF(Daten!$V699=14,1,0))</f>
        <v>0</v>
      </c>
      <c r="M699" s="189">
        <f ca="1">IF(Daten!$V699&lt;&gt;Daten!$W699,1,IF(Daten!$V699=16,1,0))</f>
        <v>0</v>
      </c>
      <c r="N699" s="189">
        <f ca="1">IF(Daten!$W699=17,1,0)</f>
        <v>0</v>
      </c>
      <c r="O699" s="190">
        <f ca="1">IF(Daten!$X699=Sprache!$A$70,1,0)</f>
        <v>1</v>
      </c>
      <c r="P699" s="191">
        <f>IF(AND(Daten!$AQ699&lt;=KINVARO!$AW$3,Daten!$AR699&gt;=KINVARO!$AW$3)=TRUE,1,0)</f>
        <v>1</v>
      </c>
      <c r="Q699" s="192">
        <f>IF(AND(Daten!$AA699&lt;=KINVARO!$AW$4,Daten!$AB699&gt;=KINVARO!$AW$4)=TRUE,1,0)</f>
        <v>0</v>
      </c>
      <c r="R699" s="192"/>
      <c r="S699" s="192">
        <f>IF(AND(Daten!$AD699&lt;=Limits!$I$70,Daten!$AE699&gt;=Limits!$I$70)=TRUE,1,0)</f>
        <v>1</v>
      </c>
      <c r="T699" s="193">
        <f ca="1">IF(Daten!$Y699=Sprache!$A$135,1,0)</f>
        <v>0</v>
      </c>
      <c r="U699" s="124" t="str">
        <f ca="1">Sprache!$A$69</f>
        <v>S-35 Откидной подъемник</v>
      </c>
      <c r="V699" s="194" t="str">
        <f ca="1">Sprache!$A$74</f>
        <v>var</v>
      </c>
      <c r="W699" s="193" t="str">
        <f ca="1">Sprache!$A$74</f>
        <v>var</v>
      </c>
      <c r="X699" s="187" t="str">
        <f ca="1">Sprache!$A$70</f>
        <v>соединение с древесиной</v>
      </c>
      <c r="Y699" s="187" t="str">
        <f ca="1">Sprache!$A$136</f>
        <v>nein</v>
      </c>
      <c r="Z699" s="187" t="str">
        <f ca="1">Sprache!$A$79</f>
        <v>Створка</v>
      </c>
      <c r="AA699" s="187">
        <v>570</v>
      </c>
      <c r="AB699" s="124">
        <v>599</v>
      </c>
      <c r="AC699" s="187"/>
      <c r="AD699" s="195">
        <v>5</v>
      </c>
      <c r="AE699" s="196">
        <v>11</v>
      </c>
      <c r="AF699" s="263" t="str">
        <f>MID(Tabelle2[[#This Row],[bnr full]],1,4)</f>
        <v>F152</v>
      </c>
      <c r="AG699" s="264" t="str">
        <f>MID(Tabelle2[[#This Row],[bnr full]],5,3)</f>
        <v>000</v>
      </c>
      <c r="AH699" s="265" t="str">
        <f>MID(Tabelle2[[#This Row],[bnr full]],8,3)</f>
        <v>256</v>
      </c>
      <c r="AI699" s="264" t="str">
        <f>MID(Tabelle2[[#This Row],[bnr full]],11,3)</f>
        <v>201</v>
      </c>
      <c r="AJ699" s="252" t="str">
        <f>MID(Tabelle2[[#This Row],[bnr full]],11,3)</f>
        <v>201</v>
      </c>
      <c r="AK699" s="197" t="s">
        <v>810</v>
      </c>
      <c r="AL699" s="124" t="str">
        <f ca="1">Sprache!$A$111</f>
        <v>Комплект (Л + П)</v>
      </c>
      <c r="AM699" s="187" t="s">
        <v>25</v>
      </c>
      <c r="AN699" s="187" t="str">
        <f ca="1">Sprache!$A$121</f>
        <v>Силовой механизм B</v>
      </c>
      <c r="AO699" s="187" t="s">
        <v>25</v>
      </c>
      <c r="AP699" s="187" t="s">
        <v>25</v>
      </c>
      <c r="AQ699" s="187">
        <v>450</v>
      </c>
      <c r="AR699" s="124">
        <v>1200</v>
      </c>
      <c r="AS699" s="187"/>
      <c r="AT699" s="124"/>
      <c r="AV699"/>
      <c r="AX699" s="10"/>
      <c r="AY699" s="11"/>
      <c r="AZ699" s="2"/>
      <c r="BC699"/>
    </row>
    <row r="700" spans="1:55" hidden="1" x14ac:dyDescent="0.25">
      <c r="A700" s="12" t="str">
        <f ca="1">IF(F700+G700+H700+I700+J700+D700+E700=3,IF(Tabelle2[[#This Row],[Kappe Weiß]]=Limits!$R$29,1,""),"")</f>
        <v/>
      </c>
      <c r="B700" s="12" t="str">
        <f ca="1">IF(G700+H700+I700+J700+E700+F700=2,IF(Tabelle2[[#This Row],[Kappe Weiß]]=Limits!$R$29,1,""),"")</f>
        <v/>
      </c>
      <c r="C700" s="291">
        <v>0</v>
      </c>
      <c r="D700" s="171">
        <f>IF(Limits!$P$5=TRUE,1,0)</f>
        <v>0</v>
      </c>
      <c r="E700" s="172">
        <f>IF(Daten!$P700+Daten!$Q700+Daten!$S700=3,1,0)</f>
        <v>0</v>
      </c>
      <c r="F700" s="173">
        <f ca="1">IF(AND(Limits!$Q$21=TRUE,Daten!O700=1)=TRUE,1,0)</f>
        <v>1</v>
      </c>
      <c r="G700" s="174">
        <f ca="1">IF(AND(Limits!$Q$25=TRUE,Daten!N700=1)=TRUE,1,0)</f>
        <v>0</v>
      </c>
      <c r="H700" s="174">
        <f ca="1">IF(AND(Limits!$Q$24=TRUE,Daten!M700=1)=TRUE,1,0)</f>
        <v>0</v>
      </c>
      <c r="I700" s="174">
        <f ca="1">IF(AND(Limits!$Q$23=TRUE,Daten!L700=1)=TRUE,1,0)</f>
        <v>0</v>
      </c>
      <c r="J700" s="174">
        <f ca="1">IF(AND(Limits!$Q$22=TRUE,Daten!K700=1)=TRUE,1,0)</f>
        <v>0</v>
      </c>
      <c r="K700" s="188">
        <f ca="1">IF(Daten!$V700=13,1,0)</f>
        <v>0</v>
      </c>
      <c r="L700" s="189">
        <f ca="1">IF(Daten!$V700&lt;&gt;Daten!$W700,1,IF(Daten!$V700=14,1,0))</f>
        <v>0</v>
      </c>
      <c r="M700" s="189">
        <f ca="1">IF(Daten!$V700&lt;&gt;Daten!$W700,1,IF(Daten!$V700=16,1,0))</f>
        <v>0</v>
      </c>
      <c r="N700" s="189">
        <f ca="1">IF(Daten!$W700=17,1,0)</f>
        <v>0</v>
      </c>
      <c r="O700" s="190">
        <f ca="1">IF(Daten!$X700=Sprache!$A$70,1,0)</f>
        <v>1</v>
      </c>
      <c r="P700" s="191">
        <f>IF(AND(Daten!$AQ700&lt;=KINVARO!$AW$3,Daten!$AR700&gt;=KINVARO!$AW$3)=TRUE,1,0)</f>
        <v>1</v>
      </c>
      <c r="Q700" s="192">
        <f>IF(AND(Daten!$AA700&lt;=KINVARO!$AW$4,Daten!$AB700&gt;=KINVARO!$AW$4)=TRUE,1,0)</f>
        <v>0</v>
      </c>
      <c r="R700" s="192"/>
      <c r="S700" s="192">
        <f>IF(AND(Daten!$AD700&lt;=Limits!$I$70,Daten!$AE700&gt;=Limits!$I$70)=TRUE,1,0)</f>
        <v>1</v>
      </c>
      <c r="T700" s="193">
        <f ca="1">IF(Daten!$Y700=Sprache!$A$135,1,0)</f>
        <v>0</v>
      </c>
      <c r="U700" s="124" t="str">
        <f ca="1">Sprache!$A$69</f>
        <v>S-35 Откидной подъемник</v>
      </c>
      <c r="V700" s="194" t="str">
        <f ca="1">Sprache!$A$74</f>
        <v>var</v>
      </c>
      <c r="W700" s="193" t="str">
        <f ca="1">Sprache!$A$74</f>
        <v>var</v>
      </c>
      <c r="X700" s="187" t="str">
        <f ca="1">Sprache!$A$70</f>
        <v>соединение с древесиной</v>
      </c>
      <c r="Y700" s="187" t="str">
        <f ca="1">Sprache!$A$136</f>
        <v>nein</v>
      </c>
      <c r="Z700" s="187" t="str">
        <f ca="1">Sprache!$A$79</f>
        <v>Створка</v>
      </c>
      <c r="AA700" s="187">
        <v>570</v>
      </c>
      <c r="AB700" s="124">
        <v>599</v>
      </c>
      <c r="AC700" s="187"/>
      <c r="AD700" s="195">
        <v>5.5</v>
      </c>
      <c r="AE700" s="196">
        <v>12</v>
      </c>
      <c r="AF700" s="263" t="str">
        <f>MID(Tabelle2[[#This Row],[bnr full]],1,4)</f>
        <v>F152</v>
      </c>
      <c r="AG700" s="264" t="str">
        <f>MID(Tabelle2[[#This Row],[bnr full]],5,3)</f>
        <v>000</v>
      </c>
      <c r="AH700" s="265" t="str">
        <f>MID(Tabelle2[[#This Row],[bnr full]],8,3)</f>
        <v>257</v>
      </c>
      <c r="AI700" s="264" t="str">
        <f>MID(Tabelle2[[#This Row],[bnr full]],11,3)</f>
        <v>201</v>
      </c>
      <c r="AJ700" s="252" t="str">
        <f>MID(Tabelle2[[#This Row],[bnr full]],11,3)</f>
        <v>201</v>
      </c>
      <c r="AK700" s="197" t="s">
        <v>811</v>
      </c>
      <c r="AL700" s="124" t="str">
        <f ca="1">Sprache!$A$111</f>
        <v>Комплект (Л + П)</v>
      </c>
      <c r="AM700" s="187" t="s">
        <v>25</v>
      </c>
      <c r="AN700" s="187" t="str">
        <f ca="1">Sprache!$A$122</f>
        <v>Силовой механизм C</v>
      </c>
      <c r="AO700" s="187" t="s">
        <v>25</v>
      </c>
      <c r="AP700" s="187" t="s">
        <v>25</v>
      </c>
      <c r="AQ700" s="187">
        <v>450</v>
      </c>
      <c r="AR700" s="124">
        <v>1200</v>
      </c>
      <c r="AS700" s="187"/>
      <c r="AT700" s="124"/>
      <c r="AV700"/>
      <c r="AX700" s="10"/>
      <c r="AY700" s="11"/>
      <c r="AZ700" s="2"/>
      <c r="BC700"/>
    </row>
    <row r="701" spans="1:55" hidden="1" x14ac:dyDescent="0.25">
      <c r="A701" s="12" t="str">
        <f ca="1">IF(F701+G701+H701+I701+J701+D701+E701=3,IF(Tabelle2[[#This Row],[Kappe Weiß]]=Limits!$R$29,1,""),"")</f>
        <v/>
      </c>
      <c r="B701" s="12" t="str">
        <f ca="1">IF(G701+H701+I701+J701+E701+F701=2,IF(Tabelle2[[#This Row],[Kappe Weiß]]=Limits!$R$29,1,""),"")</f>
        <v/>
      </c>
      <c r="C701" s="291">
        <v>0</v>
      </c>
      <c r="D701" s="171">
        <f>IF(Limits!$P$5=TRUE,1,0)</f>
        <v>0</v>
      </c>
      <c r="E701" s="172">
        <f>IF(Daten!$P701+Daten!$Q701+Daten!$S701=3,1,0)</f>
        <v>0</v>
      </c>
      <c r="F701" s="173">
        <f ca="1">IF(AND(Limits!$Q$21=TRUE,Daten!O701=1)=TRUE,1,0)</f>
        <v>1</v>
      </c>
      <c r="G701" s="174">
        <f ca="1">IF(AND(Limits!$Q$25=TRUE,Daten!N701=1)=TRUE,1,0)</f>
        <v>0</v>
      </c>
      <c r="H701" s="174">
        <f ca="1">IF(AND(Limits!$Q$24=TRUE,Daten!M701=1)=TRUE,1,0)</f>
        <v>0</v>
      </c>
      <c r="I701" s="174">
        <f ca="1">IF(AND(Limits!$Q$23=TRUE,Daten!L701=1)=TRUE,1,0)</f>
        <v>0</v>
      </c>
      <c r="J701" s="174">
        <f ca="1">IF(AND(Limits!$Q$22=TRUE,Daten!K701=1)=TRUE,1,0)</f>
        <v>0</v>
      </c>
      <c r="K701" s="188">
        <f ca="1">IF(Daten!$V701=13,1,0)</f>
        <v>0</v>
      </c>
      <c r="L701" s="189">
        <f ca="1">IF(Daten!$V701&lt;&gt;Daten!$W701,1,IF(Daten!$V701=14,1,0))</f>
        <v>0</v>
      </c>
      <c r="M701" s="189">
        <f ca="1">IF(Daten!$V701&lt;&gt;Daten!$W701,1,IF(Daten!$V701=16,1,0))</f>
        <v>0</v>
      </c>
      <c r="N701" s="189">
        <f ca="1">IF(Daten!$W701=17,1,0)</f>
        <v>0</v>
      </c>
      <c r="O701" s="190">
        <f ca="1">IF(Daten!$X701=Sprache!$A$70,1,0)</f>
        <v>1</v>
      </c>
      <c r="P701" s="191">
        <f>IF(AND(Daten!$AQ701&lt;=KINVARO!$AW$3,Daten!$AR701&gt;=KINVARO!$AW$3)=TRUE,1,0)</f>
        <v>1</v>
      </c>
      <c r="Q701" s="192">
        <f>IF(AND(Daten!$AA701&lt;=KINVARO!$AW$4,Daten!$AB701&gt;=KINVARO!$AW$4)=TRUE,1,0)</f>
        <v>0</v>
      </c>
      <c r="R701" s="192"/>
      <c r="S701" s="192">
        <f>IF(AND(Daten!$AD701&lt;=Limits!$I$70,Daten!$AE701&gt;=Limits!$I$70)=TRUE,1,0)</f>
        <v>0</v>
      </c>
      <c r="T701" s="193">
        <f ca="1">IF(Daten!$Y701=Sprache!$A$135,1,0)</f>
        <v>0</v>
      </c>
      <c r="U701" s="124" t="str">
        <f ca="1">Sprache!$A$69</f>
        <v>S-35 Откидной подъемник</v>
      </c>
      <c r="V701" s="194" t="str">
        <f ca="1">Sprache!$A$74</f>
        <v>var</v>
      </c>
      <c r="W701" s="193" t="str">
        <f ca="1">Sprache!$A$74</f>
        <v>var</v>
      </c>
      <c r="X701" s="187" t="str">
        <f ca="1">Sprache!$A$70</f>
        <v>соединение с древесиной</v>
      </c>
      <c r="Y701" s="187" t="str">
        <f ca="1">Sprache!$A$136</f>
        <v>nein</v>
      </c>
      <c r="Z701" s="187" t="str">
        <f ca="1">Sprache!$A$79</f>
        <v>Створка</v>
      </c>
      <c r="AA701" s="187">
        <v>570</v>
      </c>
      <c r="AB701" s="124">
        <v>599</v>
      </c>
      <c r="AC701" s="187"/>
      <c r="AD701" s="195">
        <v>11.5</v>
      </c>
      <c r="AE701" s="196">
        <v>14.5</v>
      </c>
      <c r="AF701" s="263" t="str">
        <f>MID(Tabelle2[[#This Row],[bnr full]],1,4)</f>
        <v>F152</v>
      </c>
      <c r="AG701" s="264" t="str">
        <f>MID(Tabelle2[[#This Row],[bnr full]],5,3)</f>
        <v>000</v>
      </c>
      <c r="AH701" s="265" t="str">
        <f>MID(Tabelle2[[#This Row],[bnr full]],8,3)</f>
        <v>258</v>
      </c>
      <c r="AI701" s="264" t="str">
        <f>MID(Tabelle2[[#This Row],[bnr full]],11,3)</f>
        <v>201</v>
      </c>
      <c r="AJ701" s="252" t="str">
        <f>MID(Tabelle2[[#This Row],[bnr full]],11,3)</f>
        <v>201</v>
      </c>
      <c r="AK701" s="197" t="s">
        <v>812</v>
      </c>
      <c r="AL701" s="124" t="str">
        <f ca="1">Sprache!$A$111</f>
        <v>Комплект (Л + П)</v>
      </c>
      <c r="AM701" s="187" t="s">
        <v>25</v>
      </c>
      <c r="AN701" s="187" t="str">
        <f ca="1">Sprache!$A$123</f>
        <v>Силовой механизм D</v>
      </c>
      <c r="AO701" s="187" t="s">
        <v>25</v>
      </c>
      <c r="AP701" s="187" t="s">
        <v>25</v>
      </c>
      <c r="AQ701" s="187">
        <v>450</v>
      </c>
      <c r="AR701" s="124">
        <v>1200</v>
      </c>
      <c r="AS701" s="187"/>
      <c r="AT701" s="124"/>
      <c r="AV701"/>
      <c r="AX701" s="10"/>
      <c r="AY701" s="11"/>
      <c r="AZ701" s="2"/>
      <c r="BC701"/>
    </row>
    <row r="702" spans="1:55" hidden="1" x14ac:dyDescent="0.25">
      <c r="A702" s="12" t="str">
        <f ca="1">IF(F702+G702+H702+I702+J702+D702+E702=3,IF(Tabelle2[[#This Row],[Kappe Weiß]]=Limits!$R$29,1,""),"")</f>
        <v/>
      </c>
      <c r="B702" s="12" t="str">
        <f ca="1">IF(G702+H702+I702+J702+E702+F702=2,IF(Tabelle2[[#This Row],[Kappe Weiß]]=Limits!$R$29,1,""),"")</f>
        <v/>
      </c>
      <c r="C702" s="291">
        <v>0</v>
      </c>
      <c r="D702" s="171">
        <f>IF(Limits!$P$5=TRUE,1,0)</f>
        <v>0</v>
      </c>
      <c r="E702" s="172">
        <f>IF(Daten!$P702+Daten!$Q702+Daten!$S702=3,1,0)</f>
        <v>0</v>
      </c>
      <c r="F702" s="173">
        <f ca="1">IF(AND(Limits!$Q$21=TRUE,Daten!O702=1)=TRUE,1,0)</f>
        <v>0</v>
      </c>
      <c r="G702" s="174">
        <f>IF(AND(Limits!$Q$25=TRUE,Daten!N702=1)=TRUE,1,0)</f>
        <v>0</v>
      </c>
      <c r="H702" s="174">
        <f>IF(AND(Limits!$Q$24=TRUE,Daten!M702=1)=TRUE,1,0)</f>
        <v>0</v>
      </c>
      <c r="I702" s="174">
        <f>IF(AND(Limits!$Q$23=TRUE,Daten!L702=1)=TRUE,1,0)</f>
        <v>0</v>
      </c>
      <c r="J702" s="174">
        <f>IF(AND(Limits!$Q$22=TRUE,Daten!K702=1)=TRUE,1,0)</f>
        <v>0</v>
      </c>
      <c r="K702" s="188">
        <f>IF(Daten!$V702=13,1,0)</f>
        <v>1</v>
      </c>
      <c r="L702" s="189">
        <f>IF(Daten!$V702&lt;&gt;Daten!$W702,1,IF(Daten!$V702=14,1,0))</f>
        <v>1</v>
      </c>
      <c r="M702" s="189">
        <f>IF(Daten!$V702&lt;&gt;Daten!$W702,1,IF(Daten!$V702=16,1,0))</f>
        <v>1</v>
      </c>
      <c r="N702" s="189">
        <f>IF(Daten!$W702=17,1,0)</f>
        <v>1</v>
      </c>
      <c r="O702" s="190">
        <f ca="1">IF(Daten!$X702=Sprache!$A$70,1,0)</f>
        <v>0</v>
      </c>
      <c r="P702" s="191">
        <f>IF(AND(Daten!$AQ702&lt;=KINVARO!$AW$3,Daten!$AR702&gt;=KINVARO!$AW$3)=TRUE,1,0)</f>
        <v>1</v>
      </c>
      <c r="Q702" s="192">
        <f>IF(AND(Daten!$AA702&lt;=KINVARO!$AW$4,Daten!$AB702&gt;=KINVARO!$AW$4)=TRUE,1,0)</f>
        <v>0</v>
      </c>
      <c r="R702" s="192"/>
      <c r="S702" s="192">
        <f>IF(AND(Daten!$AD702&lt;=Limits!$I$70,Daten!$AE702&gt;=Limits!$I$70)=TRUE,1,0)</f>
        <v>0</v>
      </c>
      <c r="T702" s="193">
        <f ca="1">IF(Daten!$Y702=Sprache!$A$135,1,0)</f>
        <v>0</v>
      </c>
      <c r="U702" s="124" t="str">
        <f ca="1">Sprache!$A$69</f>
        <v>S-35 Откидной подъемник</v>
      </c>
      <c r="V702" s="194">
        <v>13</v>
      </c>
      <c r="W702" s="193">
        <v>17</v>
      </c>
      <c r="X702" s="187" t="str">
        <f ca="1">Sprache!$A$142</f>
        <v>Alu (Rahmen 19mm)</v>
      </c>
      <c r="Y702" s="187" t="str">
        <f ca="1">Sprache!$A$136</f>
        <v>nein</v>
      </c>
      <c r="Z702" s="187" t="str">
        <f ca="1">Sprache!$A$79</f>
        <v>Створка</v>
      </c>
      <c r="AA702" s="187">
        <v>570</v>
      </c>
      <c r="AB702" s="124">
        <v>599</v>
      </c>
      <c r="AC702" s="187"/>
      <c r="AD702" s="195">
        <v>2</v>
      </c>
      <c r="AE702" s="196">
        <v>6</v>
      </c>
      <c r="AF702" s="263" t="str">
        <f>MID(Tabelle2[[#This Row],[bnr full]],1,4)</f>
        <v>F152</v>
      </c>
      <c r="AG702" s="264" t="str">
        <f>MID(Tabelle2[[#This Row],[bnr full]],5,3)</f>
        <v>000</v>
      </c>
      <c r="AH702" s="265" t="str">
        <f>MID(Tabelle2[[#This Row],[bnr full]],8,3)</f>
        <v>255</v>
      </c>
      <c r="AI702" s="264" t="str">
        <f>MID(Tabelle2[[#This Row],[bnr full]],11,3)</f>
        <v>201</v>
      </c>
      <c r="AJ702" s="252" t="str">
        <f>MID(Tabelle2[[#This Row],[bnr full]],11,3)</f>
        <v>201</v>
      </c>
      <c r="AK702" s="197" t="s">
        <v>809</v>
      </c>
      <c r="AL702" s="124" t="str">
        <f ca="1">Sprache!$A$111</f>
        <v>Комплект (Л + П)</v>
      </c>
      <c r="AM702" s="187" t="s">
        <v>25</v>
      </c>
      <c r="AN702" s="187" t="str">
        <f ca="1">Sprache!$A$120</f>
        <v>Силовой механизм A</v>
      </c>
      <c r="AO702" s="187" t="str">
        <f ca="1">Sprache!$A$147</f>
        <v>Адаптер под алюминиевые рамки к комплекту Kinvaro S-35</v>
      </c>
      <c r="AP702" s="225" t="s">
        <v>814</v>
      </c>
      <c r="AQ702" s="187">
        <v>450</v>
      </c>
      <c r="AR702" s="124">
        <v>1200</v>
      </c>
      <c r="AS702" s="187"/>
      <c r="AT702" s="124"/>
      <c r="AV702"/>
      <c r="AX702" s="10"/>
      <c r="AY702" s="11"/>
      <c r="AZ702" s="2"/>
      <c r="BC702"/>
    </row>
    <row r="703" spans="1:55" hidden="1" x14ac:dyDescent="0.25">
      <c r="A703" s="12" t="str">
        <f ca="1">IF(F703+G703+H703+I703+J703+D703+E703=3,IF(Tabelle2[[#This Row],[Kappe Weiß]]=Limits!$R$29,1,""),"")</f>
        <v/>
      </c>
      <c r="B703" s="12" t="str">
        <f ca="1">IF(G703+H703+I703+J703+E703+F703=2,IF(Tabelle2[[#This Row],[Kappe Weiß]]=Limits!$R$29,1,""),"")</f>
        <v/>
      </c>
      <c r="C703" s="291">
        <v>0</v>
      </c>
      <c r="D703" s="171">
        <f>IF(Limits!$P$5=TRUE,1,0)</f>
        <v>0</v>
      </c>
      <c r="E703" s="172">
        <f>IF(Daten!$P703+Daten!$Q703+Daten!$S703=3,1,0)</f>
        <v>0</v>
      </c>
      <c r="F703" s="173">
        <f ca="1">IF(AND(Limits!$Q$21=TRUE,Daten!O703=1)=TRUE,1,0)</f>
        <v>0</v>
      </c>
      <c r="G703" s="174">
        <f>IF(AND(Limits!$Q$25=TRUE,Daten!N703=1)=TRUE,1,0)</f>
        <v>0</v>
      </c>
      <c r="H703" s="174">
        <f>IF(AND(Limits!$Q$24=TRUE,Daten!M703=1)=TRUE,1,0)</f>
        <v>0</v>
      </c>
      <c r="I703" s="174">
        <f>IF(AND(Limits!$Q$23=TRUE,Daten!L703=1)=TRUE,1,0)</f>
        <v>0</v>
      </c>
      <c r="J703" s="174">
        <f>IF(AND(Limits!$Q$22=TRUE,Daten!K703=1)=TRUE,1,0)</f>
        <v>0</v>
      </c>
      <c r="K703" s="188">
        <f>IF(Daten!$V703=13,1,0)</f>
        <v>1</v>
      </c>
      <c r="L703" s="189">
        <f>IF(Daten!$V703&lt;&gt;Daten!$W703,1,IF(Daten!$V703=14,1,0))</f>
        <v>1</v>
      </c>
      <c r="M703" s="189">
        <f>IF(Daten!$V703&lt;&gt;Daten!$W703,1,IF(Daten!$V703=16,1,0))</f>
        <v>1</v>
      </c>
      <c r="N703" s="189">
        <f>IF(Daten!$W703=17,1,0)</f>
        <v>1</v>
      </c>
      <c r="O703" s="190">
        <f ca="1">IF(Daten!$X703=Sprache!$A$70,1,0)</f>
        <v>0</v>
      </c>
      <c r="P703" s="191">
        <f>IF(AND(Daten!$AQ703&lt;=KINVARO!$AW$3,Daten!$AR703&gt;=KINVARO!$AW$3)=TRUE,1,0)</f>
        <v>1</v>
      </c>
      <c r="Q703" s="192">
        <f>IF(AND(Daten!$AA703&lt;=KINVARO!$AW$4,Daten!$AB703&gt;=KINVARO!$AW$4)=TRUE,1,0)</f>
        <v>0</v>
      </c>
      <c r="R703" s="192"/>
      <c r="S703" s="192">
        <f>IF(AND(Daten!$AD703&lt;=Limits!$I$70,Daten!$AE703&gt;=Limits!$I$70)=TRUE,1,0)</f>
        <v>1</v>
      </c>
      <c r="T703" s="193">
        <f ca="1">IF(Daten!$Y703=Sprache!$A$135,1,0)</f>
        <v>0</v>
      </c>
      <c r="U703" s="124" t="str">
        <f ca="1">Sprache!$A$69</f>
        <v>S-35 Откидной подъемник</v>
      </c>
      <c r="V703" s="194">
        <v>13</v>
      </c>
      <c r="W703" s="193">
        <v>17</v>
      </c>
      <c r="X703" s="187" t="str">
        <f ca="1">Sprache!$A$142</f>
        <v>Alu (Rahmen 19mm)</v>
      </c>
      <c r="Y703" s="187" t="str">
        <f ca="1">Sprache!$A$136</f>
        <v>nein</v>
      </c>
      <c r="Z703" s="187" t="str">
        <f ca="1">Sprache!$A$79</f>
        <v>Створка</v>
      </c>
      <c r="AA703" s="187">
        <v>570</v>
      </c>
      <c r="AB703" s="124">
        <v>599</v>
      </c>
      <c r="AC703" s="187"/>
      <c r="AD703" s="195">
        <v>5</v>
      </c>
      <c r="AE703" s="196">
        <v>11</v>
      </c>
      <c r="AF703" s="263" t="str">
        <f>MID(Tabelle2[[#This Row],[bnr full]],1,4)</f>
        <v>F152</v>
      </c>
      <c r="AG703" s="264" t="str">
        <f>MID(Tabelle2[[#This Row],[bnr full]],5,3)</f>
        <v>000</v>
      </c>
      <c r="AH703" s="265" t="str">
        <f>MID(Tabelle2[[#This Row],[bnr full]],8,3)</f>
        <v>256</v>
      </c>
      <c r="AI703" s="264" t="str">
        <f>MID(Tabelle2[[#This Row],[bnr full]],11,3)</f>
        <v>201</v>
      </c>
      <c r="AJ703" s="252" t="str">
        <f>MID(Tabelle2[[#This Row],[bnr full]],11,3)</f>
        <v>201</v>
      </c>
      <c r="AK703" s="197" t="s">
        <v>810</v>
      </c>
      <c r="AL703" s="124" t="str">
        <f ca="1">Sprache!$A$111</f>
        <v>Комплект (Л + П)</v>
      </c>
      <c r="AM703" s="187" t="s">
        <v>25</v>
      </c>
      <c r="AN703" s="187" t="str">
        <f ca="1">Sprache!$A$121</f>
        <v>Силовой механизм B</v>
      </c>
      <c r="AO703" s="187" t="str">
        <f ca="1">Sprache!$A$147</f>
        <v>Адаптер под алюминиевые рамки к комплекту Kinvaro S-35</v>
      </c>
      <c r="AP703" s="225" t="s">
        <v>814</v>
      </c>
      <c r="AQ703" s="187">
        <v>450</v>
      </c>
      <c r="AR703" s="124">
        <v>1200</v>
      </c>
      <c r="AS703" s="187"/>
      <c r="AT703" s="124"/>
      <c r="AV703"/>
      <c r="AX703" s="10"/>
      <c r="AY703" s="11"/>
      <c r="AZ703" s="2"/>
      <c r="BC703"/>
    </row>
    <row r="704" spans="1:55" hidden="1" x14ac:dyDescent="0.25">
      <c r="A704" s="12" t="str">
        <f ca="1">IF(F704+G704+H704+I704+J704+D704+E704=3,IF(Tabelle2[[#This Row],[Kappe Weiß]]=Limits!$R$29,1,""),"")</f>
        <v/>
      </c>
      <c r="B704" s="12" t="str">
        <f ca="1">IF(G704+H704+I704+J704+E704+F704=2,IF(Tabelle2[[#This Row],[Kappe Weiß]]=Limits!$R$29,1,""),"")</f>
        <v/>
      </c>
      <c r="C704" s="291">
        <v>0</v>
      </c>
      <c r="D704" s="171">
        <f>IF(Limits!$P$5=TRUE,1,0)</f>
        <v>0</v>
      </c>
      <c r="E704" s="172">
        <f>IF(Daten!$P704+Daten!$Q704+Daten!$S704=3,1,0)</f>
        <v>0</v>
      </c>
      <c r="F704" s="173">
        <f ca="1">IF(AND(Limits!$Q$21=TRUE,Daten!O704=1)=TRUE,1,0)</f>
        <v>0</v>
      </c>
      <c r="G704" s="174">
        <f>IF(AND(Limits!$Q$25=TRUE,Daten!N704=1)=TRUE,1,0)</f>
        <v>0</v>
      </c>
      <c r="H704" s="174">
        <f>IF(AND(Limits!$Q$24=TRUE,Daten!M704=1)=TRUE,1,0)</f>
        <v>0</v>
      </c>
      <c r="I704" s="174">
        <f>IF(AND(Limits!$Q$23=TRUE,Daten!L704=1)=TRUE,1,0)</f>
        <v>0</v>
      </c>
      <c r="J704" s="174">
        <f>IF(AND(Limits!$Q$22=TRUE,Daten!K704=1)=TRUE,1,0)</f>
        <v>0</v>
      </c>
      <c r="K704" s="188">
        <f>IF(Daten!$V704=13,1,0)</f>
        <v>1</v>
      </c>
      <c r="L704" s="189">
        <f>IF(Daten!$V704&lt;&gt;Daten!$W704,1,IF(Daten!$V704=14,1,0))</f>
        <v>1</v>
      </c>
      <c r="M704" s="189">
        <f>IF(Daten!$V704&lt;&gt;Daten!$W704,1,IF(Daten!$V704=16,1,0))</f>
        <v>1</v>
      </c>
      <c r="N704" s="189">
        <f>IF(Daten!$W704=17,1,0)</f>
        <v>1</v>
      </c>
      <c r="O704" s="190">
        <f ca="1">IF(Daten!$X704=Sprache!$A$70,1,0)</f>
        <v>0</v>
      </c>
      <c r="P704" s="191">
        <f>IF(AND(Daten!$AQ704&lt;=KINVARO!$AW$3,Daten!$AR704&gt;=KINVARO!$AW$3)=TRUE,1,0)</f>
        <v>1</v>
      </c>
      <c r="Q704" s="192">
        <f>IF(AND(Daten!$AA704&lt;=KINVARO!$AW$4,Daten!$AB704&gt;=KINVARO!$AW$4)=TRUE,1,0)</f>
        <v>0</v>
      </c>
      <c r="R704" s="192"/>
      <c r="S704" s="192">
        <f>IF(AND(Daten!$AD704&lt;=Limits!$I$70,Daten!$AE704&gt;=Limits!$I$70)=TRUE,1,0)</f>
        <v>1</v>
      </c>
      <c r="T704" s="193">
        <f ca="1">IF(Daten!$Y704=Sprache!$A$135,1,0)</f>
        <v>0</v>
      </c>
      <c r="U704" s="124" t="str">
        <f ca="1">Sprache!$A$69</f>
        <v>S-35 Откидной подъемник</v>
      </c>
      <c r="V704" s="194">
        <v>13</v>
      </c>
      <c r="W704" s="193">
        <v>17</v>
      </c>
      <c r="X704" s="187" t="str">
        <f ca="1">Sprache!$A$142</f>
        <v>Alu (Rahmen 19mm)</v>
      </c>
      <c r="Y704" s="187" t="str">
        <f ca="1">Sprache!$A$136</f>
        <v>nein</v>
      </c>
      <c r="Z704" s="187" t="str">
        <f ca="1">Sprache!$A$79</f>
        <v>Створка</v>
      </c>
      <c r="AA704" s="187">
        <v>570</v>
      </c>
      <c r="AB704" s="124">
        <v>599</v>
      </c>
      <c r="AC704" s="187"/>
      <c r="AD704" s="195">
        <v>5.5</v>
      </c>
      <c r="AE704" s="196">
        <v>12</v>
      </c>
      <c r="AF704" s="263" t="str">
        <f>MID(Tabelle2[[#This Row],[bnr full]],1,4)</f>
        <v>F152</v>
      </c>
      <c r="AG704" s="264" t="str">
        <f>MID(Tabelle2[[#This Row],[bnr full]],5,3)</f>
        <v>000</v>
      </c>
      <c r="AH704" s="265" t="str">
        <f>MID(Tabelle2[[#This Row],[bnr full]],8,3)</f>
        <v>257</v>
      </c>
      <c r="AI704" s="264" t="str">
        <f>MID(Tabelle2[[#This Row],[bnr full]],11,3)</f>
        <v>201</v>
      </c>
      <c r="AJ704" s="252" t="str">
        <f>MID(Tabelle2[[#This Row],[bnr full]],11,3)</f>
        <v>201</v>
      </c>
      <c r="AK704" s="197" t="s">
        <v>811</v>
      </c>
      <c r="AL704" s="124" t="str">
        <f ca="1">Sprache!$A$111</f>
        <v>Комплект (Л + П)</v>
      </c>
      <c r="AM704" s="187" t="s">
        <v>25</v>
      </c>
      <c r="AN704" s="187" t="str">
        <f ca="1">Sprache!$A$122</f>
        <v>Силовой механизм C</v>
      </c>
      <c r="AO704" s="187" t="str">
        <f ca="1">Sprache!$A$147</f>
        <v>Адаптер под алюминиевые рамки к комплекту Kinvaro S-35</v>
      </c>
      <c r="AP704" s="225" t="s">
        <v>814</v>
      </c>
      <c r="AQ704" s="187">
        <v>450</v>
      </c>
      <c r="AR704" s="124">
        <v>1200</v>
      </c>
      <c r="AS704" s="187"/>
      <c r="AT704" s="124"/>
      <c r="AV704"/>
      <c r="AX704" s="10"/>
      <c r="AY704" s="11"/>
      <c r="AZ704" s="2"/>
      <c r="BC704"/>
    </row>
    <row r="705" spans="1:55" hidden="1" x14ac:dyDescent="0.25">
      <c r="A705" s="12" t="str">
        <f ca="1">IF(F705+G705+H705+I705+J705+D705+E705=3,IF(Tabelle2[[#This Row],[Kappe Weiß]]=Limits!$R$29,1,""),"")</f>
        <v/>
      </c>
      <c r="B705" s="12" t="str">
        <f ca="1">IF(G705+H705+I705+J705+E705+F705=2,IF(Tabelle2[[#This Row],[Kappe Weiß]]=Limits!$R$29,1,""),"")</f>
        <v/>
      </c>
      <c r="C705" s="291">
        <v>0</v>
      </c>
      <c r="D705" s="171">
        <f>IF(Limits!$P$5=TRUE,1,0)</f>
        <v>0</v>
      </c>
      <c r="E705" s="172">
        <f>IF(Daten!$P705+Daten!$Q705+Daten!$S705=3,1,0)</f>
        <v>0</v>
      </c>
      <c r="F705" s="173">
        <f ca="1">IF(AND(Limits!$Q$21=TRUE,Daten!O705=1)=TRUE,1,0)</f>
        <v>0</v>
      </c>
      <c r="G705" s="174">
        <f>IF(AND(Limits!$Q$25=TRUE,Daten!N705=1)=TRUE,1,0)</f>
        <v>0</v>
      </c>
      <c r="H705" s="174">
        <f>IF(AND(Limits!$Q$24=TRUE,Daten!M705=1)=TRUE,1,0)</f>
        <v>0</v>
      </c>
      <c r="I705" s="174">
        <f>IF(AND(Limits!$Q$23=TRUE,Daten!L705=1)=TRUE,1,0)</f>
        <v>0</v>
      </c>
      <c r="J705" s="174">
        <f>IF(AND(Limits!$Q$22=TRUE,Daten!K705=1)=TRUE,1,0)</f>
        <v>0</v>
      </c>
      <c r="K705" s="188">
        <f>IF(Daten!$V705=13,1,0)</f>
        <v>1</v>
      </c>
      <c r="L705" s="189">
        <f>IF(Daten!$V705&lt;&gt;Daten!$W705,1,IF(Daten!$V705=14,1,0))</f>
        <v>1</v>
      </c>
      <c r="M705" s="189">
        <f>IF(Daten!$V705&lt;&gt;Daten!$W705,1,IF(Daten!$V705=16,1,0))</f>
        <v>1</v>
      </c>
      <c r="N705" s="189">
        <f>IF(Daten!$W705=17,1,0)</f>
        <v>1</v>
      </c>
      <c r="O705" s="190">
        <f ca="1">IF(Daten!$X705=Sprache!$A$70,1,0)</f>
        <v>0</v>
      </c>
      <c r="P705" s="191">
        <f>IF(AND(Daten!$AQ705&lt;=KINVARO!$AW$3,Daten!$AR705&gt;=KINVARO!$AW$3)=TRUE,1,0)</f>
        <v>1</v>
      </c>
      <c r="Q705" s="192">
        <f>IF(AND(Daten!$AA705&lt;=KINVARO!$AW$4,Daten!$AB705&gt;=KINVARO!$AW$4)=TRUE,1,0)</f>
        <v>0</v>
      </c>
      <c r="R705" s="192"/>
      <c r="S705" s="192">
        <f>IF(AND(Daten!$AD705&lt;=Limits!$I$70,Daten!$AE705&gt;=Limits!$I$70)=TRUE,1,0)</f>
        <v>0</v>
      </c>
      <c r="T705" s="193">
        <f ca="1">IF(Daten!$Y705=Sprache!$A$135,1,0)</f>
        <v>0</v>
      </c>
      <c r="U705" s="124" t="str">
        <f ca="1">Sprache!$A$69</f>
        <v>S-35 Откидной подъемник</v>
      </c>
      <c r="V705" s="194">
        <v>13</v>
      </c>
      <c r="W705" s="193">
        <v>17</v>
      </c>
      <c r="X705" s="187" t="str">
        <f ca="1">Sprache!$A$142</f>
        <v>Alu (Rahmen 19mm)</v>
      </c>
      <c r="Y705" s="187" t="str">
        <f ca="1">Sprache!$A$136</f>
        <v>nein</v>
      </c>
      <c r="Z705" s="187" t="str">
        <f ca="1">Sprache!$A$79</f>
        <v>Створка</v>
      </c>
      <c r="AA705" s="187">
        <v>570</v>
      </c>
      <c r="AB705" s="124">
        <v>599</v>
      </c>
      <c r="AC705" s="187"/>
      <c r="AD705" s="195">
        <v>11.5</v>
      </c>
      <c r="AE705" s="196">
        <v>14.5</v>
      </c>
      <c r="AF705" s="263" t="str">
        <f>MID(Tabelle2[[#This Row],[bnr full]],1,4)</f>
        <v>F152</v>
      </c>
      <c r="AG705" s="264" t="str">
        <f>MID(Tabelle2[[#This Row],[bnr full]],5,3)</f>
        <v>000</v>
      </c>
      <c r="AH705" s="265" t="str">
        <f>MID(Tabelle2[[#This Row],[bnr full]],8,3)</f>
        <v>258</v>
      </c>
      <c r="AI705" s="264" t="str">
        <f>MID(Tabelle2[[#This Row],[bnr full]],11,3)</f>
        <v>201</v>
      </c>
      <c r="AJ705" s="252" t="str">
        <f>MID(Tabelle2[[#This Row],[bnr full]],11,3)</f>
        <v>201</v>
      </c>
      <c r="AK705" s="197" t="s">
        <v>812</v>
      </c>
      <c r="AL705" s="124" t="str">
        <f ca="1">Sprache!$A$111</f>
        <v>Комплект (Л + П)</v>
      </c>
      <c r="AM705" s="187" t="s">
        <v>25</v>
      </c>
      <c r="AN705" s="187" t="str">
        <f ca="1">Sprache!$A$123</f>
        <v>Силовой механизм D</v>
      </c>
      <c r="AO705" s="187" t="str">
        <f ca="1">Sprache!$A$147</f>
        <v>Адаптер под алюминиевые рамки к комплекту Kinvaro S-35</v>
      </c>
      <c r="AP705" s="225" t="s">
        <v>814</v>
      </c>
      <c r="AQ705" s="187">
        <v>450</v>
      </c>
      <c r="AR705" s="124">
        <v>1200</v>
      </c>
      <c r="AS705" s="187"/>
      <c r="AT705" s="124"/>
      <c r="AV705"/>
      <c r="AX705" s="10"/>
      <c r="AY705" s="11"/>
      <c r="AZ705" s="2"/>
      <c r="BC705"/>
    </row>
    <row r="706" spans="1:55" hidden="1" x14ac:dyDescent="0.25">
      <c r="A706" s="12" t="str">
        <f ca="1">IF(F706+G706+H706+I706+J706+D706+E706=3,IF(Tabelle2[[#This Row],[Kappe Weiß]]=Limits!$R$29,1,""),"")</f>
        <v/>
      </c>
      <c r="B706" s="12" t="str">
        <f ca="1">IF(G706+H706+I706+J706+E706+F706=2,IF(Tabelle2[[#This Row],[Kappe Weiß]]=Limits!$R$29,1,""),"")</f>
        <v/>
      </c>
      <c r="C706" s="292">
        <v>0</v>
      </c>
      <c r="D706" s="171">
        <f>IF(Limits!$P$5=TRUE,1,0)</f>
        <v>0</v>
      </c>
      <c r="E706" s="172">
        <f>IF(Daten!$P706+Daten!$Q706+Daten!$S706=3,1,0)</f>
        <v>0</v>
      </c>
      <c r="F706" s="173">
        <f ca="1">IF(AND(Limits!$Q$21=TRUE,Daten!O706=1)=TRUE,1,0)</f>
        <v>1</v>
      </c>
      <c r="G706" s="174">
        <f ca="1">IF(AND(Limits!$Q$25=TRUE,Daten!N706=1)=TRUE,1,0)</f>
        <v>0</v>
      </c>
      <c r="H706" s="174">
        <f ca="1">IF(AND(Limits!$Q$24=TRUE,Daten!M706=1)=TRUE,1,0)</f>
        <v>0</v>
      </c>
      <c r="I706" s="174">
        <f ca="1">IF(AND(Limits!$Q$23=TRUE,Daten!L706=1)=TRUE,1,0)</f>
        <v>0</v>
      </c>
      <c r="J706" s="174">
        <f ca="1">IF(AND(Limits!$Q$22=TRUE,Daten!K706=1)=TRUE,1,0)</f>
        <v>0</v>
      </c>
      <c r="K706" s="188">
        <f ca="1">IF(Daten!$V706=13,1,0)</f>
        <v>0</v>
      </c>
      <c r="L706" s="189">
        <f ca="1">IF(Daten!$V706&lt;&gt;Daten!$W706,1,IF(Daten!$V706=14,1,0))</f>
        <v>0</v>
      </c>
      <c r="M706" s="189">
        <f ca="1">IF(Daten!$V706&lt;&gt;Daten!$W706,1,IF(Daten!$V706=16,1,0))</f>
        <v>0</v>
      </c>
      <c r="N706" s="189">
        <f ca="1">IF(Daten!$W706=17,1,0)</f>
        <v>0</v>
      </c>
      <c r="O706" s="190">
        <f ca="1">IF(Daten!$X706=Sprache!$A$70,1,0)</f>
        <v>1</v>
      </c>
      <c r="P706" s="198">
        <f>IF(AND(Daten!$AQ706&lt;=KINVARO!$AW$3,Daten!$AR706&gt;=KINVARO!$AW$3)=TRUE,1,0)</f>
        <v>1</v>
      </c>
      <c r="Q706" s="199">
        <f>IF(AND(Daten!$AA706&lt;=KINVARO!$AW$4,Daten!$AB706&gt;=KINVARO!$AW$4)=TRUE,1,0)</f>
        <v>0</v>
      </c>
      <c r="R706" s="199"/>
      <c r="S706" s="199">
        <f>IF(AND(Daten!$AD706&lt;=Limits!$I$70,Daten!$AE706&gt;=Limits!$I$70)=TRUE,1,0)</f>
        <v>0</v>
      </c>
      <c r="T706" s="200">
        <f ca="1">IF(Daten!$Y706=Sprache!$A$135,1,0)</f>
        <v>0</v>
      </c>
      <c r="U706" s="201" t="str">
        <f ca="1">Sprache!$A$69</f>
        <v>S-35 Откидной подъемник</v>
      </c>
      <c r="V706" s="202" t="str">
        <f ca="1">Sprache!$A$74</f>
        <v>var</v>
      </c>
      <c r="W706" s="200" t="str">
        <f ca="1">Sprache!$A$74</f>
        <v>var</v>
      </c>
      <c r="X706" s="203" t="str">
        <f ca="1">Sprache!$A$70</f>
        <v>соединение с древесиной</v>
      </c>
      <c r="Y706" s="187" t="str">
        <f ca="1">Sprache!$A$136</f>
        <v>nein</v>
      </c>
      <c r="Z706" s="203" t="str">
        <f ca="1">Sprache!$A$79</f>
        <v>Створка</v>
      </c>
      <c r="AA706" s="203">
        <v>600</v>
      </c>
      <c r="AB706" s="201">
        <v>629</v>
      </c>
      <c r="AC706" s="203"/>
      <c r="AD706" s="204">
        <v>2</v>
      </c>
      <c r="AE706" s="205">
        <v>5.5</v>
      </c>
      <c r="AF706" s="266" t="str">
        <f>MID(Tabelle2[[#This Row],[bnr full]],1,4)</f>
        <v>F152</v>
      </c>
      <c r="AG706" s="267" t="str">
        <f>MID(Tabelle2[[#This Row],[bnr full]],5,3)</f>
        <v>000</v>
      </c>
      <c r="AH706" s="268" t="str">
        <f>MID(Tabelle2[[#This Row],[bnr full]],8,3)</f>
        <v>255</v>
      </c>
      <c r="AI706" s="267" t="str">
        <f>MID(Tabelle2[[#This Row],[bnr full]],11,3)</f>
        <v>201</v>
      </c>
      <c r="AJ706" s="253" t="str">
        <f>MID(Tabelle2[[#This Row],[bnr full]],11,3)</f>
        <v>201</v>
      </c>
      <c r="AK706" s="206" t="s">
        <v>809</v>
      </c>
      <c r="AL706" s="201" t="str">
        <f ca="1">Sprache!$A$111</f>
        <v>Комплект (Л + П)</v>
      </c>
      <c r="AM706" s="203" t="s">
        <v>25</v>
      </c>
      <c r="AN706" s="203" t="str">
        <f ca="1">Sprache!$A$120</f>
        <v>Силовой механизм A</v>
      </c>
      <c r="AO706" s="203" t="s">
        <v>25</v>
      </c>
      <c r="AP706" s="203" t="s">
        <v>25</v>
      </c>
      <c r="AQ706" s="203">
        <v>450</v>
      </c>
      <c r="AR706" s="201">
        <v>1200</v>
      </c>
      <c r="AS706" s="187"/>
      <c r="AT706" s="124"/>
      <c r="AV706"/>
      <c r="AX706" s="10"/>
      <c r="AY706" s="11"/>
      <c r="AZ706" s="2"/>
      <c r="BC706"/>
    </row>
    <row r="707" spans="1:55" hidden="1" x14ac:dyDescent="0.25">
      <c r="A707" s="12" t="str">
        <f ca="1">IF(F707+G707+H707+I707+J707+D707+E707=3,IF(Tabelle2[[#This Row],[Kappe Weiß]]=Limits!$R$29,1,""),"")</f>
        <v/>
      </c>
      <c r="B707" s="12" t="str">
        <f ca="1">IF(G707+H707+I707+J707+E707+F707=2,IF(Tabelle2[[#This Row],[Kappe Weiß]]=Limits!$R$29,1,""),"")</f>
        <v/>
      </c>
      <c r="C707" s="291">
        <v>0</v>
      </c>
      <c r="D707" s="171">
        <f>IF(Limits!$P$5=TRUE,1,0)</f>
        <v>0</v>
      </c>
      <c r="E707" s="172">
        <f>IF(Daten!$P707+Daten!$Q707+Daten!$S707=3,1,0)</f>
        <v>0</v>
      </c>
      <c r="F707" s="173">
        <f ca="1">IF(AND(Limits!$Q$21=TRUE,Daten!O707=1)=TRUE,1,0)</f>
        <v>1</v>
      </c>
      <c r="G707" s="174">
        <f ca="1">IF(AND(Limits!$Q$25=TRUE,Daten!N707=1)=TRUE,1,0)</f>
        <v>0</v>
      </c>
      <c r="H707" s="174">
        <f ca="1">IF(AND(Limits!$Q$24=TRUE,Daten!M707=1)=TRUE,1,0)</f>
        <v>0</v>
      </c>
      <c r="I707" s="174">
        <f ca="1">IF(AND(Limits!$Q$23=TRUE,Daten!L707=1)=TRUE,1,0)</f>
        <v>0</v>
      </c>
      <c r="J707" s="174">
        <f ca="1">IF(AND(Limits!$Q$22=TRUE,Daten!K707=1)=TRUE,1,0)</f>
        <v>0</v>
      </c>
      <c r="K707" s="188">
        <f ca="1">IF(Daten!$V707=13,1,0)</f>
        <v>0</v>
      </c>
      <c r="L707" s="189">
        <f ca="1">IF(Daten!$V707&lt;&gt;Daten!$W707,1,IF(Daten!$V707=14,1,0))</f>
        <v>0</v>
      </c>
      <c r="M707" s="189">
        <f ca="1">IF(Daten!$V707&lt;&gt;Daten!$W707,1,IF(Daten!$V707=16,1,0))</f>
        <v>0</v>
      </c>
      <c r="N707" s="189">
        <f ca="1">IF(Daten!$W707=17,1,0)</f>
        <v>0</v>
      </c>
      <c r="O707" s="190">
        <f ca="1">IF(Daten!$X707=Sprache!$A$70,1,0)</f>
        <v>1</v>
      </c>
      <c r="P707" s="191">
        <f>IF(AND(Daten!$AQ707&lt;=KINVARO!$AW$3,Daten!$AR707&gt;=KINVARO!$AW$3)=TRUE,1,0)</f>
        <v>1</v>
      </c>
      <c r="Q707" s="192">
        <f>IF(AND(Daten!$AA707&lt;=KINVARO!$AW$4,Daten!$AB707&gt;=KINVARO!$AW$4)=TRUE,1,0)</f>
        <v>0</v>
      </c>
      <c r="R707" s="192"/>
      <c r="S707" s="192">
        <f>IF(AND(Daten!$AD707&lt;=Limits!$I$70,Daten!$AE707&gt;=Limits!$I$70)=TRUE,1,0)</f>
        <v>1</v>
      </c>
      <c r="T707" s="193">
        <f ca="1">IF(Daten!$Y707=Sprache!$A$135,1,0)</f>
        <v>0</v>
      </c>
      <c r="U707" s="124" t="str">
        <f ca="1">Sprache!$A$69</f>
        <v>S-35 Откидной подъемник</v>
      </c>
      <c r="V707" s="194" t="str">
        <f ca="1">Sprache!$A$74</f>
        <v>var</v>
      </c>
      <c r="W707" s="193" t="str">
        <f ca="1">Sprache!$A$74</f>
        <v>var</v>
      </c>
      <c r="X707" s="187" t="str">
        <f ca="1">Sprache!$A$70</f>
        <v>соединение с древесиной</v>
      </c>
      <c r="Y707" s="187" t="str">
        <f ca="1">Sprache!$A$136</f>
        <v>nein</v>
      </c>
      <c r="Z707" s="187" t="str">
        <f ca="1">Sprache!$A$79</f>
        <v>Створка</v>
      </c>
      <c r="AA707" s="187">
        <v>600</v>
      </c>
      <c r="AB707" s="124">
        <v>629</v>
      </c>
      <c r="AC707" s="187"/>
      <c r="AD707" s="195">
        <v>4.5</v>
      </c>
      <c r="AE707" s="196">
        <v>10</v>
      </c>
      <c r="AF707" s="263" t="str">
        <f>MID(Tabelle2[[#This Row],[bnr full]],1,4)</f>
        <v>F152</v>
      </c>
      <c r="AG707" s="264" t="str">
        <f>MID(Tabelle2[[#This Row],[bnr full]],5,3)</f>
        <v>000</v>
      </c>
      <c r="AH707" s="265" t="str">
        <f>MID(Tabelle2[[#This Row],[bnr full]],8,3)</f>
        <v>256</v>
      </c>
      <c r="AI707" s="264" t="str">
        <f>MID(Tabelle2[[#This Row],[bnr full]],11,3)</f>
        <v>201</v>
      </c>
      <c r="AJ707" s="252" t="str">
        <f>MID(Tabelle2[[#This Row],[bnr full]],11,3)</f>
        <v>201</v>
      </c>
      <c r="AK707" s="197" t="s">
        <v>810</v>
      </c>
      <c r="AL707" s="124" t="str">
        <f ca="1">Sprache!$A$111</f>
        <v>Комплект (Л + П)</v>
      </c>
      <c r="AM707" s="187" t="s">
        <v>25</v>
      </c>
      <c r="AN707" s="187" t="str">
        <f ca="1">Sprache!$A$121</f>
        <v>Силовой механизм B</v>
      </c>
      <c r="AO707" s="187" t="s">
        <v>25</v>
      </c>
      <c r="AP707" s="187" t="s">
        <v>25</v>
      </c>
      <c r="AQ707" s="187">
        <v>450</v>
      </c>
      <c r="AR707" s="124">
        <v>1200</v>
      </c>
      <c r="AS707" s="187"/>
      <c r="AT707" s="124"/>
      <c r="AV707"/>
      <c r="AX707" s="10"/>
      <c r="AY707" s="11"/>
      <c r="AZ707" s="2"/>
      <c r="BC707"/>
    </row>
    <row r="708" spans="1:55" hidden="1" x14ac:dyDescent="0.25">
      <c r="A708" s="12" t="str">
        <f ca="1">IF(F708+G708+H708+I708+J708+D708+E708=3,IF(Tabelle2[[#This Row],[Kappe Weiß]]=Limits!$R$29,1,""),"")</f>
        <v/>
      </c>
      <c r="B708" s="12" t="str">
        <f ca="1">IF(G708+H708+I708+J708+E708+F708=2,IF(Tabelle2[[#This Row],[Kappe Weiß]]=Limits!$R$29,1,""),"")</f>
        <v/>
      </c>
      <c r="C708" s="291">
        <v>0</v>
      </c>
      <c r="D708" s="171">
        <f>IF(Limits!$P$5=TRUE,1,0)</f>
        <v>0</v>
      </c>
      <c r="E708" s="172">
        <f>IF(Daten!$P708+Daten!$Q708+Daten!$S708=3,1,0)</f>
        <v>0</v>
      </c>
      <c r="F708" s="173">
        <f ca="1">IF(AND(Limits!$Q$21=TRUE,Daten!O708=1)=TRUE,1,0)</f>
        <v>1</v>
      </c>
      <c r="G708" s="174">
        <f ca="1">IF(AND(Limits!$Q$25=TRUE,Daten!N708=1)=TRUE,1,0)</f>
        <v>0</v>
      </c>
      <c r="H708" s="174">
        <f ca="1">IF(AND(Limits!$Q$24=TRUE,Daten!M708=1)=TRUE,1,0)</f>
        <v>0</v>
      </c>
      <c r="I708" s="174">
        <f ca="1">IF(AND(Limits!$Q$23=TRUE,Daten!L708=1)=TRUE,1,0)</f>
        <v>0</v>
      </c>
      <c r="J708" s="174">
        <f ca="1">IF(AND(Limits!$Q$22=TRUE,Daten!K708=1)=TRUE,1,0)</f>
        <v>0</v>
      </c>
      <c r="K708" s="188">
        <f ca="1">IF(Daten!$V708=13,1,0)</f>
        <v>0</v>
      </c>
      <c r="L708" s="189">
        <f ca="1">IF(Daten!$V708&lt;&gt;Daten!$W708,1,IF(Daten!$V708=14,1,0))</f>
        <v>0</v>
      </c>
      <c r="M708" s="189">
        <f ca="1">IF(Daten!$V708&lt;&gt;Daten!$W708,1,IF(Daten!$V708=16,1,0))</f>
        <v>0</v>
      </c>
      <c r="N708" s="189">
        <f ca="1">IF(Daten!$W708=17,1,0)</f>
        <v>0</v>
      </c>
      <c r="O708" s="190">
        <f ca="1">IF(Daten!$X708=Sprache!$A$70,1,0)</f>
        <v>1</v>
      </c>
      <c r="P708" s="191">
        <f>IF(AND(Daten!$AQ708&lt;=KINVARO!$AW$3,Daten!$AR708&gt;=KINVARO!$AW$3)=TRUE,1,0)</f>
        <v>1</v>
      </c>
      <c r="Q708" s="192">
        <f>IF(AND(Daten!$AA708&lt;=KINVARO!$AW$4,Daten!$AB708&gt;=KINVARO!$AW$4)=TRUE,1,0)</f>
        <v>0</v>
      </c>
      <c r="R708" s="192"/>
      <c r="S708" s="192">
        <f>IF(AND(Daten!$AD708&lt;=Limits!$I$70,Daten!$AE708&gt;=Limits!$I$70)=TRUE,1,0)</f>
        <v>1</v>
      </c>
      <c r="T708" s="193">
        <f ca="1">IF(Daten!$Y708=Sprache!$A$135,1,0)</f>
        <v>0</v>
      </c>
      <c r="U708" s="124" t="str">
        <f ca="1">Sprache!$A$69</f>
        <v>S-35 Откидной подъемник</v>
      </c>
      <c r="V708" s="194" t="str">
        <f ca="1">Sprache!$A$74</f>
        <v>var</v>
      </c>
      <c r="W708" s="193" t="str">
        <f ca="1">Sprache!$A$74</f>
        <v>var</v>
      </c>
      <c r="X708" s="187" t="str">
        <f ca="1">Sprache!$A$70</f>
        <v>соединение с древесиной</v>
      </c>
      <c r="Y708" s="187" t="str">
        <f ca="1">Sprache!$A$136</f>
        <v>nein</v>
      </c>
      <c r="Z708" s="187" t="str">
        <f ca="1">Sprache!$A$79</f>
        <v>Створка</v>
      </c>
      <c r="AA708" s="187">
        <v>600</v>
      </c>
      <c r="AB708" s="124">
        <v>629</v>
      </c>
      <c r="AC708" s="187"/>
      <c r="AD708" s="195">
        <v>5.5</v>
      </c>
      <c r="AE708" s="196">
        <v>11.5</v>
      </c>
      <c r="AF708" s="263" t="str">
        <f>MID(Tabelle2[[#This Row],[bnr full]],1,4)</f>
        <v>F152</v>
      </c>
      <c r="AG708" s="264" t="str">
        <f>MID(Tabelle2[[#This Row],[bnr full]],5,3)</f>
        <v>000</v>
      </c>
      <c r="AH708" s="265" t="str">
        <f>MID(Tabelle2[[#This Row],[bnr full]],8,3)</f>
        <v>257</v>
      </c>
      <c r="AI708" s="264" t="str">
        <f>MID(Tabelle2[[#This Row],[bnr full]],11,3)</f>
        <v>201</v>
      </c>
      <c r="AJ708" s="252" t="str">
        <f>MID(Tabelle2[[#This Row],[bnr full]],11,3)</f>
        <v>201</v>
      </c>
      <c r="AK708" s="197" t="s">
        <v>811</v>
      </c>
      <c r="AL708" s="124" t="str">
        <f ca="1">Sprache!$A$111</f>
        <v>Комплект (Л + П)</v>
      </c>
      <c r="AM708" s="187" t="s">
        <v>25</v>
      </c>
      <c r="AN708" s="187" t="str">
        <f ca="1">Sprache!$A$122</f>
        <v>Силовой механизм C</v>
      </c>
      <c r="AO708" s="187" t="s">
        <v>25</v>
      </c>
      <c r="AP708" s="187" t="s">
        <v>25</v>
      </c>
      <c r="AQ708" s="187">
        <v>450</v>
      </c>
      <c r="AR708" s="124">
        <v>1200</v>
      </c>
      <c r="AS708" s="187"/>
      <c r="AT708" s="124"/>
      <c r="AV708"/>
      <c r="AX708" s="10"/>
      <c r="AY708" s="11"/>
      <c r="AZ708" s="2"/>
      <c r="BC708"/>
    </row>
    <row r="709" spans="1:55" hidden="1" x14ac:dyDescent="0.25">
      <c r="A709" s="12" t="str">
        <f ca="1">IF(F709+G709+H709+I709+J709+D709+E709=3,IF(Tabelle2[[#This Row],[Kappe Weiß]]=Limits!$R$29,1,""),"")</f>
        <v/>
      </c>
      <c r="B709" s="12" t="str">
        <f ca="1">IF(G709+H709+I709+J709+E709+F709=2,IF(Tabelle2[[#This Row],[Kappe Weiß]]=Limits!$R$29,1,""),"")</f>
        <v/>
      </c>
      <c r="C709" s="291">
        <v>0</v>
      </c>
      <c r="D709" s="171">
        <f>IF(Limits!$P$5=TRUE,1,0)</f>
        <v>0</v>
      </c>
      <c r="E709" s="172">
        <f>IF(Daten!$P709+Daten!$Q709+Daten!$S709=3,1,0)</f>
        <v>0</v>
      </c>
      <c r="F709" s="173">
        <f ca="1">IF(AND(Limits!$Q$21=TRUE,Daten!O709=1)=TRUE,1,0)</f>
        <v>1</v>
      </c>
      <c r="G709" s="174">
        <f ca="1">IF(AND(Limits!$Q$25=TRUE,Daten!N709=1)=TRUE,1,0)</f>
        <v>0</v>
      </c>
      <c r="H709" s="174">
        <f ca="1">IF(AND(Limits!$Q$24=TRUE,Daten!M709=1)=TRUE,1,0)</f>
        <v>0</v>
      </c>
      <c r="I709" s="174">
        <f ca="1">IF(AND(Limits!$Q$23=TRUE,Daten!L709=1)=TRUE,1,0)</f>
        <v>0</v>
      </c>
      <c r="J709" s="174">
        <f ca="1">IF(AND(Limits!$Q$22=TRUE,Daten!K709=1)=TRUE,1,0)</f>
        <v>0</v>
      </c>
      <c r="K709" s="188">
        <f ca="1">IF(Daten!$V709=13,1,0)</f>
        <v>0</v>
      </c>
      <c r="L709" s="189">
        <f ca="1">IF(Daten!$V709&lt;&gt;Daten!$W709,1,IF(Daten!$V709=14,1,0))</f>
        <v>0</v>
      </c>
      <c r="M709" s="189">
        <f ca="1">IF(Daten!$V709&lt;&gt;Daten!$W709,1,IF(Daten!$V709=16,1,0))</f>
        <v>0</v>
      </c>
      <c r="N709" s="189">
        <f ca="1">IF(Daten!$W709=17,1,0)</f>
        <v>0</v>
      </c>
      <c r="O709" s="190">
        <f ca="1">IF(Daten!$X709=Sprache!$A$70,1,0)</f>
        <v>1</v>
      </c>
      <c r="P709" s="191">
        <f>IF(AND(Daten!$AQ709&lt;=KINVARO!$AW$3,Daten!$AR709&gt;=KINVARO!$AW$3)=TRUE,1,0)</f>
        <v>1</v>
      </c>
      <c r="Q709" s="192">
        <f>IF(AND(Daten!$AA709&lt;=KINVARO!$AW$4,Daten!$AB709&gt;=KINVARO!$AW$4)=TRUE,1,0)</f>
        <v>0</v>
      </c>
      <c r="R709" s="192"/>
      <c r="S709" s="192">
        <f>IF(AND(Daten!$AD709&lt;=Limits!$I$70,Daten!$AE709&gt;=Limits!$I$70)=TRUE,1,0)</f>
        <v>0</v>
      </c>
      <c r="T709" s="193">
        <f ca="1">IF(Daten!$Y709=Sprache!$A$135,1,0)</f>
        <v>0</v>
      </c>
      <c r="U709" s="124" t="str">
        <f ca="1">Sprache!$A$69</f>
        <v>S-35 Откидной подъемник</v>
      </c>
      <c r="V709" s="194" t="str">
        <f ca="1">Sprache!$A$74</f>
        <v>var</v>
      </c>
      <c r="W709" s="193" t="str">
        <f ca="1">Sprache!$A$74</f>
        <v>var</v>
      </c>
      <c r="X709" s="187" t="str">
        <f ca="1">Sprache!$A$70</f>
        <v>соединение с древесиной</v>
      </c>
      <c r="Y709" s="187" t="str">
        <f ca="1">Sprache!$A$136</f>
        <v>nein</v>
      </c>
      <c r="Z709" s="187" t="str">
        <f ca="1">Sprache!$A$79</f>
        <v>Створка</v>
      </c>
      <c r="AA709" s="187">
        <v>600</v>
      </c>
      <c r="AB709" s="124">
        <v>629</v>
      </c>
      <c r="AC709" s="187"/>
      <c r="AD709" s="195">
        <v>10.5</v>
      </c>
      <c r="AE709" s="196">
        <v>15.5</v>
      </c>
      <c r="AF709" s="263" t="str">
        <f>MID(Tabelle2[[#This Row],[bnr full]],1,4)</f>
        <v>F152</v>
      </c>
      <c r="AG709" s="264" t="str">
        <f>MID(Tabelle2[[#This Row],[bnr full]],5,3)</f>
        <v>000</v>
      </c>
      <c r="AH709" s="265" t="str">
        <f>MID(Tabelle2[[#This Row],[bnr full]],8,3)</f>
        <v>258</v>
      </c>
      <c r="AI709" s="264" t="str">
        <f>MID(Tabelle2[[#This Row],[bnr full]],11,3)</f>
        <v>201</v>
      </c>
      <c r="AJ709" s="252" t="str">
        <f>MID(Tabelle2[[#This Row],[bnr full]],11,3)</f>
        <v>201</v>
      </c>
      <c r="AK709" s="197" t="s">
        <v>812</v>
      </c>
      <c r="AL709" s="124" t="str">
        <f ca="1">Sprache!$A$111</f>
        <v>Комплект (Л + П)</v>
      </c>
      <c r="AM709" s="187" t="s">
        <v>25</v>
      </c>
      <c r="AN709" s="187" t="str">
        <f ca="1">Sprache!$A$123</f>
        <v>Силовой механизм D</v>
      </c>
      <c r="AO709" s="187" t="s">
        <v>25</v>
      </c>
      <c r="AP709" s="187" t="s">
        <v>25</v>
      </c>
      <c r="AQ709" s="187">
        <v>450</v>
      </c>
      <c r="AR709" s="124">
        <v>1200</v>
      </c>
      <c r="AS709" s="187"/>
      <c r="AT709" s="124"/>
      <c r="AV709"/>
      <c r="AX709" s="10"/>
      <c r="AY709" s="11"/>
      <c r="AZ709" s="2"/>
      <c r="BC709"/>
    </row>
    <row r="710" spans="1:55" hidden="1" x14ac:dyDescent="0.25">
      <c r="A710" s="12" t="str">
        <f ca="1">IF(F710+G710+H710+I710+J710+D710+E710=3,IF(Tabelle2[[#This Row],[Kappe Weiß]]=Limits!$R$29,1,""),"")</f>
        <v/>
      </c>
      <c r="B710" s="12" t="str">
        <f ca="1">IF(G710+H710+I710+J710+E710+F710=2,IF(Tabelle2[[#This Row],[Kappe Weiß]]=Limits!$R$29,1,""),"")</f>
        <v/>
      </c>
      <c r="C710" s="291">
        <v>0</v>
      </c>
      <c r="D710" s="171">
        <f>IF(Limits!$P$5=TRUE,1,0)</f>
        <v>0</v>
      </c>
      <c r="E710" s="172">
        <f>IF(Daten!$P710+Daten!$Q710+Daten!$S710=3,1,0)</f>
        <v>0</v>
      </c>
      <c r="F710" s="173">
        <f ca="1">IF(AND(Limits!$Q$21=TRUE,Daten!O710=1)=TRUE,1,0)</f>
        <v>0</v>
      </c>
      <c r="G710" s="174">
        <f>IF(AND(Limits!$Q$25=TRUE,Daten!N710=1)=TRUE,1,0)</f>
        <v>0</v>
      </c>
      <c r="H710" s="174">
        <f>IF(AND(Limits!$Q$24=TRUE,Daten!M710=1)=TRUE,1,0)</f>
        <v>0</v>
      </c>
      <c r="I710" s="174">
        <f>IF(AND(Limits!$Q$23=TRUE,Daten!L710=1)=TRUE,1,0)</f>
        <v>0</v>
      </c>
      <c r="J710" s="174">
        <f>IF(AND(Limits!$Q$22=TRUE,Daten!K710=1)=TRUE,1,0)</f>
        <v>0</v>
      </c>
      <c r="K710" s="188">
        <f>IF(Daten!$V710=13,1,0)</f>
        <v>1</v>
      </c>
      <c r="L710" s="189">
        <f>IF(Daten!$V710&lt;&gt;Daten!$W710,1,IF(Daten!$V710=14,1,0))</f>
        <v>1</v>
      </c>
      <c r="M710" s="189">
        <f>IF(Daten!$V710&lt;&gt;Daten!$W710,1,IF(Daten!$V710=16,1,0))</f>
        <v>1</v>
      </c>
      <c r="N710" s="189">
        <f>IF(Daten!$W710=17,1,0)</f>
        <v>1</v>
      </c>
      <c r="O710" s="190">
        <f ca="1">IF(Daten!$X710=Sprache!$A$70,1,0)</f>
        <v>0</v>
      </c>
      <c r="P710" s="191">
        <f>IF(AND(Daten!$AQ710&lt;=KINVARO!$AW$3,Daten!$AR710&gt;=KINVARO!$AW$3)=TRUE,1,0)</f>
        <v>1</v>
      </c>
      <c r="Q710" s="192">
        <f>IF(AND(Daten!$AA710&lt;=KINVARO!$AW$4,Daten!$AB710&gt;=KINVARO!$AW$4)=TRUE,1,0)</f>
        <v>0</v>
      </c>
      <c r="R710" s="192"/>
      <c r="S710" s="192">
        <f>IF(AND(Daten!$AD710&lt;=Limits!$I$70,Daten!$AE710&gt;=Limits!$I$70)=TRUE,1,0)</f>
        <v>0</v>
      </c>
      <c r="T710" s="193">
        <f ca="1">IF(Daten!$Y710=Sprache!$A$135,1,0)</f>
        <v>0</v>
      </c>
      <c r="U710" s="124" t="str">
        <f ca="1">Sprache!$A$69</f>
        <v>S-35 Откидной подъемник</v>
      </c>
      <c r="V710" s="194">
        <v>13</v>
      </c>
      <c r="W710" s="193">
        <v>17</v>
      </c>
      <c r="X710" s="187" t="str">
        <f ca="1">Sprache!$A$142</f>
        <v>Alu (Rahmen 19mm)</v>
      </c>
      <c r="Y710" s="187" t="str">
        <f ca="1">Sprache!$A$136</f>
        <v>nein</v>
      </c>
      <c r="Z710" s="187" t="str">
        <f ca="1">Sprache!$A$79</f>
        <v>Створка</v>
      </c>
      <c r="AA710" s="187">
        <v>600</v>
      </c>
      <c r="AB710" s="124">
        <v>629</v>
      </c>
      <c r="AC710" s="187"/>
      <c r="AD710" s="195">
        <v>2</v>
      </c>
      <c r="AE710" s="196">
        <v>5.5</v>
      </c>
      <c r="AF710" s="263" t="str">
        <f>MID(Tabelle2[[#This Row],[bnr full]],1,4)</f>
        <v>F152</v>
      </c>
      <c r="AG710" s="264" t="str">
        <f>MID(Tabelle2[[#This Row],[bnr full]],5,3)</f>
        <v>000</v>
      </c>
      <c r="AH710" s="265" t="str">
        <f>MID(Tabelle2[[#This Row],[bnr full]],8,3)</f>
        <v>255</v>
      </c>
      <c r="AI710" s="264" t="str">
        <f>MID(Tabelle2[[#This Row],[bnr full]],11,3)</f>
        <v>201</v>
      </c>
      <c r="AJ710" s="252" t="str">
        <f>MID(Tabelle2[[#This Row],[bnr full]],11,3)</f>
        <v>201</v>
      </c>
      <c r="AK710" s="197" t="s">
        <v>809</v>
      </c>
      <c r="AL710" s="124" t="str">
        <f ca="1">Sprache!$A$111</f>
        <v>Комплект (Л + П)</v>
      </c>
      <c r="AM710" s="187" t="s">
        <v>25</v>
      </c>
      <c r="AN710" s="187" t="str">
        <f ca="1">Sprache!$A$120</f>
        <v>Силовой механизм A</v>
      </c>
      <c r="AO710" s="187" t="str">
        <f ca="1">Sprache!$A$147</f>
        <v>Адаптер под алюминиевые рамки к комплекту Kinvaro S-35</v>
      </c>
      <c r="AP710" s="225" t="s">
        <v>814</v>
      </c>
      <c r="AQ710" s="187">
        <v>450</v>
      </c>
      <c r="AR710" s="124">
        <v>1200</v>
      </c>
      <c r="AS710" s="187"/>
      <c r="AT710" s="124"/>
      <c r="AV710"/>
      <c r="AX710" s="10"/>
      <c r="AY710" s="11"/>
      <c r="AZ710" s="2"/>
      <c r="BC710"/>
    </row>
    <row r="711" spans="1:55" hidden="1" x14ac:dyDescent="0.25">
      <c r="A711" s="12" t="str">
        <f ca="1">IF(F711+G711+H711+I711+J711+D711+E711=3,IF(Tabelle2[[#This Row],[Kappe Weiß]]=Limits!$R$29,1,""),"")</f>
        <v/>
      </c>
      <c r="B711" s="12" t="str">
        <f ca="1">IF(G711+H711+I711+J711+E711+F711=2,IF(Tabelle2[[#This Row],[Kappe Weiß]]=Limits!$R$29,1,""),"")</f>
        <v/>
      </c>
      <c r="C711" s="291">
        <v>0</v>
      </c>
      <c r="D711" s="171">
        <f>IF(Limits!$P$5=TRUE,1,0)</f>
        <v>0</v>
      </c>
      <c r="E711" s="172">
        <f>IF(Daten!$P711+Daten!$Q711+Daten!$S711=3,1,0)</f>
        <v>0</v>
      </c>
      <c r="F711" s="173">
        <f ca="1">IF(AND(Limits!$Q$21=TRUE,Daten!O711=1)=TRUE,1,0)</f>
        <v>0</v>
      </c>
      <c r="G711" s="174">
        <f>IF(AND(Limits!$Q$25=TRUE,Daten!N711=1)=TRUE,1,0)</f>
        <v>0</v>
      </c>
      <c r="H711" s="174">
        <f>IF(AND(Limits!$Q$24=TRUE,Daten!M711=1)=TRUE,1,0)</f>
        <v>0</v>
      </c>
      <c r="I711" s="174">
        <f>IF(AND(Limits!$Q$23=TRUE,Daten!L711=1)=TRUE,1,0)</f>
        <v>0</v>
      </c>
      <c r="J711" s="174">
        <f>IF(AND(Limits!$Q$22=TRUE,Daten!K711=1)=TRUE,1,0)</f>
        <v>0</v>
      </c>
      <c r="K711" s="188">
        <f>IF(Daten!$V711=13,1,0)</f>
        <v>1</v>
      </c>
      <c r="L711" s="189">
        <f>IF(Daten!$V711&lt;&gt;Daten!$W711,1,IF(Daten!$V711=14,1,0))</f>
        <v>1</v>
      </c>
      <c r="M711" s="189">
        <f>IF(Daten!$V711&lt;&gt;Daten!$W711,1,IF(Daten!$V711=16,1,0))</f>
        <v>1</v>
      </c>
      <c r="N711" s="189">
        <f>IF(Daten!$W711=17,1,0)</f>
        <v>1</v>
      </c>
      <c r="O711" s="190">
        <f ca="1">IF(Daten!$X711=Sprache!$A$70,1,0)</f>
        <v>0</v>
      </c>
      <c r="P711" s="191">
        <f>IF(AND(Daten!$AQ711&lt;=KINVARO!$AW$3,Daten!$AR711&gt;=KINVARO!$AW$3)=TRUE,1,0)</f>
        <v>1</v>
      </c>
      <c r="Q711" s="192">
        <f>IF(AND(Daten!$AA711&lt;=KINVARO!$AW$4,Daten!$AB711&gt;=KINVARO!$AW$4)=TRUE,1,0)</f>
        <v>0</v>
      </c>
      <c r="R711" s="192"/>
      <c r="S711" s="192">
        <f>IF(AND(Daten!$AD711&lt;=Limits!$I$70,Daten!$AE711&gt;=Limits!$I$70)=TRUE,1,0)</f>
        <v>1</v>
      </c>
      <c r="T711" s="193">
        <f ca="1">IF(Daten!$Y711=Sprache!$A$135,1,0)</f>
        <v>0</v>
      </c>
      <c r="U711" s="124" t="str">
        <f ca="1">Sprache!$A$69</f>
        <v>S-35 Откидной подъемник</v>
      </c>
      <c r="V711" s="194">
        <v>13</v>
      </c>
      <c r="W711" s="193">
        <v>17</v>
      </c>
      <c r="X711" s="187" t="str">
        <f ca="1">Sprache!$A$142</f>
        <v>Alu (Rahmen 19mm)</v>
      </c>
      <c r="Y711" s="187" t="str">
        <f ca="1">Sprache!$A$136</f>
        <v>nein</v>
      </c>
      <c r="Z711" s="187" t="str">
        <f ca="1">Sprache!$A$79</f>
        <v>Створка</v>
      </c>
      <c r="AA711" s="187">
        <v>600</v>
      </c>
      <c r="AB711" s="124">
        <v>629</v>
      </c>
      <c r="AC711" s="187"/>
      <c r="AD711" s="195">
        <v>4.5</v>
      </c>
      <c r="AE711" s="196">
        <v>10</v>
      </c>
      <c r="AF711" s="263" t="str">
        <f>MID(Tabelle2[[#This Row],[bnr full]],1,4)</f>
        <v>F152</v>
      </c>
      <c r="AG711" s="264" t="str">
        <f>MID(Tabelle2[[#This Row],[bnr full]],5,3)</f>
        <v>000</v>
      </c>
      <c r="AH711" s="265" t="str">
        <f>MID(Tabelle2[[#This Row],[bnr full]],8,3)</f>
        <v>256</v>
      </c>
      <c r="AI711" s="264" t="str">
        <f>MID(Tabelle2[[#This Row],[bnr full]],11,3)</f>
        <v>201</v>
      </c>
      <c r="AJ711" s="252" t="str">
        <f>MID(Tabelle2[[#This Row],[bnr full]],11,3)</f>
        <v>201</v>
      </c>
      <c r="AK711" s="197" t="s">
        <v>810</v>
      </c>
      <c r="AL711" s="124" t="str">
        <f ca="1">Sprache!$A$111</f>
        <v>Комплект (Л + П)</v>
      </c>
      <c r="AM711" s="187" t="s">
        <v>25</v>
      </c>
      <c r="AN711" s="187" t="str">
        <f ca="1">Sprache!$A$121</f>
        <v>Силовой механизм B</v>
      </c>
      <c r="AO711" s="187" t="str">
        <f ca="1">Sprache!$A$147</f>
        <v>Адаптер под алюминиевые рамки к комплекту Kinvaro S-35</v>
      </c>
      <c r="AP711" s="225" t="s">
        <v>814</v>
      </c>
      <c r="AQ711" s="187">
        <v>450</v>
      </c>
      <c r="AR711" s="124">
        <v>1200</v>
      </c>
      <c r="AS711" s="187"/>
      <c r="AT711" s="124"/>
      <c r="AV711"/>
      <c r="AX711" s="10"/>
      <c r="AY711" s="11"/>
      <c r="AZ711" s="2"/>
      <c r="BC711"/>
    </row>
    <row r="712" spans="1:55" hidden="1" x14ac:dyDescent="0.25">
      <c r="A712" s="12" t="str">
        <f ca="1">IF(F712+G712+H712+I712+J712+D712+E712=3,IF(Tabelle2[[#This Row],[Kappe Weiß]]=Limits!$R$29,1,""),"")</f>
        <v/>
      </c>
      <c r="B712" s="12" t="str">
        <f ca="1">IF(G712+H712+I712+J712+E712+F712=2,IF(Tabelle2[[#This Row],[Kappe Weiß]]=Limits!$R$29,1,""),"")</f>
        <v/>
      </c>
      <c r="C712" s="291">
        <v>0</v>
      </c>
      <c r="D712" s="171">
        <f>IF(Limits!$P$5=TRUE,1,0)</f>
        <v>0</v>
      </c>
      <c r="E712" s="172">
        <f>IF(Daten!$P712+Daten!$Q712+Daten!$S712=3,1,0)</f>
        <v>0</v>
      </c>
      <c r="F712" s="173">
        <f ca="1">IF(AND(Limits!$Q$21=TRUE,Daten!O712=1)=TRUE,1,0)</f>
        <v>0</v>
      </c>
      <c r="G712" s="174">
        <f>IF(AND(Limits!$Q$25=TRUE,Daten!N712=1)=TRUE,1,0)</f>
        <v>0</v>
      </c>
      <c r="H712" s="174">
        <f>IF(AND(Limits!$Q$24=TRUE,Daten!M712=1)=TRUE,1,0)</f>
        <v>0</v>
      </c>
      <c r="I712" s="174">
        <f>IF(AND(Limits!$Q$23=TRUE,Daten!L712=1)=TRUE,1,0)</f>
        <v>0</v>
      </c>
      <c r="J712" s="174">
        <f>IF(AND(Limits!$Q$22=TRUE,Daten!K712=1)=TRUE,1,0)</f>
        <v>0</v>
      </c>
      <c r="K712" s="188">
        <f>IF(Daten!$V712=13,1,0)</f>
        <v>1</v>
      </c>
      <c r="L712" s="189">
        <f>IF(Daten!$V712&lt;&gt;Daten!$W712,1,IF(Daten!$V712=14,1,0))</f>
        <v>1</v>
      </c>
      <c r="M712" s="189">
        <f>IF(Daten!$V712&lt;&gt;Daten!$W712,1,IF(Daten!$V712=16,1,0))</f>
        <v>1</v>
      </c>
      <c r="N712" s="189">
        <f>IF(Daten!$W712=17,1,0)</f>
        <v>1</v>
      </c>
      <c r="O712" s="190">
        <f ca="1">IF(Daten!$X712=Sprache!$A$70,1,0)</f>
        <v>0</v>
      </c>
      <c r="P712" s="191">
        <f>IF(AND(Daten!$AQ712&lt;=KINVARO!$AW$3,Daten!$AR712&gt;=KINVARO!$AW$3)=TRUE,1,0)</f>
        <v>1</v>
      </c>
      <c r="Q712" s="192">
        <f>IF(AND(Daten!$AA712&lt;=KINVARO!$AW$4,Daten!$AB712&gt;=KINVARO!$AW$4)=TRUE,1,0)</f>
        <v>0</v>
      </c>
      <c r="R712" s="192"/>
      <c r="S712" s="192">
        <f>IF(AND(Daten!$AD712&lt;=Limits!$I$70,Daten!$AE712&gt;=Limits!$I$70)=TRUE,1,0)</f>
        <v>1</v>
      </c>
      <c r="T712" s="193">
        <f ca="1">IF(Daten!$Y712=Sprache!$A$135,1,0)</f>
        <v>0</v>
      </c>
      <c r="U712" s="124" t="str">
        <f ca="1">Sprache!$A$69</f>
        <v>S-35 Откидной подъемник</v>
      </c>
      <c r="V712" s="194">
        <v>13</v>
      </c>
      <c r="W712" s="193">
        <v>17</v>
      </c>
      <c r="X712" s="187" t="str">
        <f ca="1">Sprache!$A$142</f>
        <v>Alu (Rahmen 19mm)</v>
      </c>
      <c r="Y712" s="187" t="str">
        <f ca="1">Sprache!$A$136</f>
        <v>nein</v>
      </c>
      <c r="Z712" s="187" t="str">
        <f ca="1">Sprache!$A$79</f>
        <v>Створка</v>
      </c>
      <c r="AA712" s="187">
        <v>600</v>
      </c>
      <c r="AB712" s="124">
        <v>629</v>
      </c>
      <c r="AC712" s="187"/>
      <c r="AD712" s="195">
        <v>5.5</v>
      </c>
      <c r="AE712" s="196">
        <v>11.5</v>
      </c>
      <c r="AF712" s="263" t="str">
        <f>MID(Tabelle2[[#This Row],[bnr full]],1,4)</f>
        <v>F152</v>
      </c>
      <c r="AG712" s="264" t="str">
        <f>MID(Tabelle2[[#This Row],[bnr full]],5,3)</f>
        <v>000</v>
      </c>
      <c r="AH712" s="265" t="str">
        <f>MID(Tabelle2[[#This Row],[bnr full]],8,3)</f>
        <v>257</v>
      </c>
      <c r="AI712" s="264" t="str">
        <f>MID(Tabelle2[[#This Row],[bnr full]],11,3)</f>
        <v>201</v>
      </c>
      <c r="AJ712" s="252" t="str">
        <f>MID(Tabelle2[[#This Row],[bnr full]],11,3)</f>
        <v>201</v>
      </c>
      <c r="AK712" s="197" t="s">
        <v>811</v>
      </c>
      <c r="AL712" s="124" t="str">
        <f ca="1">Sprache!$A$111</f>
        <v>Комплект (Л + П)</v>
      </c>
      <c r="AM712" s="187" t="s">
        <v>25</v>
      </c>
      <c r="AN712" s="187" t="str">
        <f ca="1">Sprache!$A$122</f>
        <v>Силовой механизм C</v>
      </c>
      <c r="AO712" s="187" t="str">
        <f ca="1">Sprache!$A$147</f>
        <v>Адаптер под алюминиевые рамки к комплекту Kinvaro S-35</v>
      </c>
      <c r="AP712" s="225" t="s">
        <v>814</v>
      </c>
      <c r="AQ712" s="187">
        <v>450</v>
      </c>
      <c r="AR712" s="124">
        <v>1200</v>
      </c>
      <c r="AS712" s="187"/>
      <c r="AT712" s="124"/>
      <c r="AV712"/>
      <c r="AX712" s="10"/>
      <c r="AY712" s="11"/>
      <c r="AZ712" s="2"/>
      <c r="BC712"/>
    </row>
    <row r="713" spans="1:55" hidden="1" x14ac:dyDescent="0.25">
      <c r="A713" s="12" t="str">
        <f ca="1">IF(F713+G713+H713+I713+J713+D713+E713=3,IF(Tabelle2[[#This Row],[Kappe Weiß]]=Limits!$R$29,1,""),"")</f>
        <v/>
      </c>
      <c r="B713" s="12" t="str">
        <f ca="1">IF(G713+H713+I713+J713+E713+F713=2,IF(Tabelle2[[#This Row],[Kappe Weiß]]=Limits!$R$29,1,""),"")</f>
        <v/>
      </c>
      <c r="C713" s="291">
        <v>0</v>
      </c>
      <c r="D713" s="171">
        <f>IF(Limits!$P$5=TRUE,1,0)</f>
        <v>0</v>
      </c>
      <c r="E713" s="172">
        <f>IF(Daten!$P713+Daten!$Q713+Daten!$S713=3,1,0)</f>
        <v>0</v>
      </c>
      <c r="F713" s="173">
        <f ca="1">IF(AND(Limits!$Q$21=TRUE,Daten!O713=1)=TRUE,1,0)</f>
        <v>0</v>
      </c>
      <c r="G713" s="174">
        <f>IF(AND(Limits!$Q$25=TRUE,Daten!N713=1)=TRUE,1,0)</f>
        <v>0</v>
      </c>
      <c r="H713" s="174">
        <f>IF(AND(Limits!$Q$24=TRUE,Daten!M713=1)=TRUE,1,0)</f>
        <v>0</v>
      </c>
      <c r="I713" s="174">
        <f>IF(AND(Limits!$Q$23=TRUE,Daten!L713=1)=TRUE,1,0)</f>
        <v>0</v>
      </c>
      <c r="J713" s="174">
        <f>IF(AND(Limits!$Q$22=TRUE,Daten!K713=1)=TRUE,1,0)</f>
        <v>0</v>
      </c>
      <c r="K713" s="188">
        <f>IF(Daten!$V713=13,1,0)</f>
        <v>1</v>
      </c>
      <c r="L713" s="189">
        <f>IF(Daten!$V713&lt;&gt;Daten!$W713,1,IF(Daten!$V713=14,1,0))</f>
        <v>1</v>
      </c>
      <c r="M713" s="189">
        <f>IF(Daten!$V713&lt;&gt;Daten!$W713,1,IF(Daten!$V713=16,1,0))</f>
        <v>1</v>
      </c>
      <c r="N713" s="189">
        <f>IF(Daten!$W713=17,1,0)</f>
        <v>1</v>
      </c>
      <c r="O713" s="190">
        <f ca="1">IF(Daten!$X713=Sprache!$A$70,1,0)</f>
        <v>0</v>
      </c>
      <c r="P713" s="191">
        <f>IF(AND(Daten!$AQ713&lt;=KINVARO!$AW$3,Daten!$AR713&gt;=KINVARO!$AW$3)=TRUE,1,0)</f>
        <v>1</v>
      </c>
      <c r="Q713" s="192">
        <f>IF(AND(Daten!$AA713&lt;=KINVARO!$AW$4,Daten!$AB713&gt;=KINVARO!$AW$4)=TRUE,1,0)</f>
        <v>0</v>
      </c>
      <c r="R713" s="192"/>
      <c r="S713" s="192">
        <f>IF(AND(Daten!$AD713&lt;=Limits!$I$70,Daten!$AE713&gt;=Limits!$I$70)=TRUE,1,0)</f>
        <v>0</v>
      </c>
      <c r="T713" s="193">
        <f ca="1">IF(Daten!$Y713=Sprache!$A$135,1,0)</f>
        <v>0</v>
      </c>
      <c r="U713" s="124" t="str">
        <f ca="1">Sprache!$A$69</f>
        <v>S-35 Откидной подъемник</v>
      </c>
      <c r="V713" s="194">
        <v>13</v>
      </c>
      <c r="W713" s="193">
        <v>17</v>
      </c>
      <c r="X713" s="187" t="str">
        <f ca="1">Sprache!$A$142</f>
        <v>Alu (Rahmen 19mm)</v>
      </c>
      <c r="Y713" s="187" t="str">
        <f ca="1">Sprache!$A$136</f>
        <v>nein</v>
      </c>
      <c r="Z713" s="187" t="str">
        <f ca="1">Sprache!$A$79</f>
        <v>Створка</v>
      </c>
      <c r="AA713" s="187">
        <v>600</v>
      </c>
      <c r="AB713" s="124">
        <v>629</v>
      </c>
      <c r="AC713" s="187"/>
      <c r="AD713" s="195">
        <v>10.5</v>
      </c>
      <c r="AE713" s="196">
        <v>15.5</v>
      </c>
      <c r="AF713" s="263" t="str">
        <f>MID(Tabelle2[[#This Row],[bnr full]],1,4)</f>
        <v>F152</v>
      </c>
      <c r="AG713" s="264" t="str">
        <f>MID(Tabelle2[[#This Row],[bnr full]],5,3)</f>
        <v>000</v>
      </c>
      <c r="AH713" s="265" t="str">
        <f>MID(Tabelle2[[#This Row],[bnr full]],8,3)</f>
        <v>258</v>
      </c>
      <c r="AI713" s="264" t="str">
        <f>MID(Tabelle2[[#This Row],[bnr full]],11,3)</f>
        <v>201</v>
      </c>
      <c r="AJ713" s="252" t="str">
        <f>MID(Tabelle2[[#This Row],[bnr full]],11,3)</f>
        <v>201</v>
      </c>
      <c r="AK713" s="197" t="s">
        <v>812</v>
      </c>
      <c r="AL713" s="124" t="str">
        <f ca="1">Sprache!$A$111</f>
        <v>Комплект (Л + П)</v>
      </c>
      <c r="AM713" s="187" t="s">
        <v>25</v>
      </c>
      <c r="AN713" s="187" t="str">
        <f ca="1">Sprache!$A$123</f>
        <v>Силовой механизм D</v>
      </c>
      <c r="AO713" s="187" t="str">
        <f ca="1">Sprache!$A$147</f>
        <v>Адаптер под алюминиевые рамки к комплекту Kinvaro S-35</v>
      </c>
      <c r="AP713" s="225" t="s">
        <v>814</v>
      </c>
      <c r="AQ713" s="187">
        <v>450</v>
      </c>
      <c r="AR713" s="124">
        <v>1200</v>
      </c>
      <c r="AS713" s="187"/>
      <c r="AT713" s="124"/>
      <c r="AV713"/>
      <c r="AX713" s="10"/>
      <c r="AY713" s="11"/>
      <c r="AZ713" s="2"/>
      <c r="BC713"/>
    </row>
    <row r="714" spans="1:55" hidden="1" x14ac:dyDescent="0.25">
      <c r="A714" s="12" t="str">
        <f ca="1">IF(F714+G714+H714+I714+J714+D714+E714=3,IF(Tabelle2[[#This Row],[Kappe Weiß]]=Limits!$R$29,1,""),"")</f>
        <v/>
      </c>
      <c r="B714" s="12" t="str">
        <f ca="1">IF(G714+H714+I714+J714+E714+F714=2,IF(Tabelle2[[#This Row],[Kappe Weiß]]=Limits!$R$29,1,""),"")</f>
        <v/>
      </c>
      <c r="C714" s="292">
        <v>0</v>
      </c>
      <c r="D714" s="171">
        <f>IF(Limits!$P$5=TRUE,1,0)</f>
        <v>0</v>
      </c>
      <c r="E714" s="172">
        <f>IF(Daten!$P714+Daten!$Q714+Daten!$S714=3,1,0)</f>
        <v>0</v>
      </c>
      <c r="F714" s="173">
        <f ca="1">IF(AND(Limits!$Q$21=TRUE,Daten!O714=1)=TRUE,1,0)</f>
        <v>1</v>
      </c>
      <c r="G714" s="174">
        <f ca="1">IF(AND(Limits!$Q$25=TRUE,Daten!N714=1)=TRUE,1,0)</f>
        <v>0</v>
      </c>
      <c r="H714" s="174">
        <f ca="1">IF(AND(Limits!$Q$24=TRUE,Daten!M714=1)=TRUE,1,0)</f>
        <v>0</v>
      </c>
      <c r="I714" s="174">
        <f ca="1">IF(AND(Limits!$Q$23=TRUE,Daten!L714=1)=TRUE,1,0)</f>
        <v>0</v>
      </c>
      <c r="J714" s="174">
        <f ca="1">IF(AND(Limits!$Q$22=TRUE,Daten!K714=1)=TRUE,1,0)</f>
        <v>0</v>
      </c>
      <c r="K714" s="188">
        <f ca="1">IF(Daten!$V714=13,1,0)</f>
        <v>0</v>
      </c>
      <c r="L714" s="189">
        <f ca="1">IF(Daten!$V714&lt;&gt;Daten!$W714,1,IF(Daten!$V714=14,1,0))</f>
        <v>0</v>
      </c>
      <c r="M714" s="189">
        <f ca="1">IF(Daten!$V714&lt;&gt;Daten!$W714,1,IF(Daten!$V714=16,1,0))</f>
        <v>0</v>
      </c>
      <c r="N714" s="189">
        <f ca="1">IF(Daten!$W714=17,1,0)</f>
        <v>0</v>
      </c>
      <c r="O714" s="190">
        <f ca="1">IF(Daten!$X714=Sprache!$A$70,1,0)</f>
        <v>1</v>
      </c>
      <c r="P714" s="198">
        <f>IF(AND(Daten!$AQ714&lt;=KINVARO!$AW$3,Daten!$AR714&gt;=KINVARO!$AW$3)=TRUE,1,0)</f>
        <v>1</v>
      </c>
      <c r="Q714" s="199">
        <f>IF(AND(Daten!$AA714&lt;=KINVARO!$AW$4,Daten!$AB714&gt;=KINVARO!$AW$4)=TRUE,1,0)</f>
        <v>0</v>
      </c>
      <c r="R714" s="199"/>
      <c r="S714" s="199">
        <f>IF(AND(Daten!$AD714&lt;=Limits!$I$70,Daten!$AE714&gt;=Limits!$I$70)=TRUE,1,0)</f>
        <v>0</v>
      </c>
      <c r="T714" s="200">
        <f ca="1">IF(Daten!$Y714=Sprache!$A$135,1,0)</f>
        <v>0</v>
      </c>
      <c r="U714" s="201" t="str">
        <f ca="1">Sprache!$A$69</f>
        <v>S-35 Откидной подъемник</v>
      </c>
      <c r="V714" s="202" t="str">
        <f ca="1">Sprache!$A$74</f>
        <v>var</v>
      </c>
      <c r="W714" s="200" t="str">
        <f ca="1">Sprache!$A$74</f>
        <v>var</v>
      </c>
      <c r="X714" s="203" t="str">
        <f ca="1">Sprache!$A$70</f>
        <v>соединение с древесиной</v>
      </c>
      <c r="Y714" s="187" t="str">
        <f ca="1">Sprache!$A$136</f>
        <v>nein</v>
      </c>
      <c r="Z714" s="203" t="str">
        <f ca="1">Sprache!$A$79</f>
        <v>Створка</v>
      </c>
      <c r="AA714" s="203">
        <v>630</v>
      </c>
      <c r="AB714" s="201">
        <v>659</v>
      </c>
      <c r="AC714" s="203"/>
      <c r="AD714" s="204">
        <v>2</v>
      </c>
      <c r="AE714" s="205">
        <v>5.5</v>
      </c>
      <c r="AF714" s="266" t="str">
        <f>MID(Tabelle2[[#This Row],[bnr full]],1,4)</f>
        <v>F152</v>
      </c>
      <c r="AG714" s="267" t="str">
        <f>MID(Tabelle2[[#This Row],[bnr full]],5,3)</f>
        <v>000</v>
      </c>
      <c r="AH714" s="268" t="str">
        <f>MID(Tabelle2[[#This Row],[bnr full]],8,3)</f>
        <v>255</v>
      </c>
      <c r="AI714" s="267" t="str">
        <f>MID(Tabelle2[[#This Row],[bnr full]],11,3)</f>
        <v>201</v>
      </c>
      <c r="AJ714" s="253" t="str">
        <f>MID(Tabelle2[[#This Row],[bnr full]],11,3)</f>
        <v>201</v>
      </c>
      <c r="AK714" s="206" t="s">
        <v>809</v>
      </c>
      <c r="AL714" s="201" t="str">
        <f ca="1">Sprache!$A$111</f>
        <v>Комплект (Л + П)</v>
      </c>
      <c r="AM714" s="203" t="s">
        <v>25</v>
      </c>
      <c r="AN714" s="203" t="str">
        <f ca="1">Sprache!$A$120</f>
        <v>Силовой механизм A</v>
      </c>
      <c r="AO714" s="203" t="s">
        <v>25</v>
      </c>
      <c r="AP714" s="203" t="s">
        <v>25</v>
      </c>
      <c r="AQ714" s="203">
        <v>450</v>
      </c>
      <c r="AR714" s="201">
        <v>1200</v>
      </c>
      <c r="AS714" s="187"/>
      <c r="AT714" s="124"/>
      <c r="AV714"/>
      <c r="AX714" s="10"/>
      <c r="AY714" s="11"/>
      <c r="AZ714" s="2"/>
      <c r="BC714"/>
    </row>
    <row r="715" spans="1:55" hidden="1" x14ac:dyDescent="0.25">
      <c r="A715" s="12" t="str">
        <f ca="1">IF(F715+G715+H715+I715+J715+D715+E715=3,IF(Tabelle2[[#This Row],[Kappe Weiß]]=Limits!$R$29,1,""),"")</f>
        <v/>
      </c>
      <c r="B715" s="12" t="str">
        <f ca="1">IF(G715+H715+I715+J715+E715+F715=2,IF(Tabelle2[[#This Row],[Kappe Weiß]]=Limits!$R$29,1,""),"")</f>
        <v/>
      </c>
      <c r="C715" s="291">
        <v>0</v>
      </c>
      <c r="D715" s="171">
        <f>IF(Limits!$P$5=TRUE,1,0)</f>
        <v>0</v>
      </c>
      <c r="E715" s="172">
        <f>IF(Daten!$P715+Daten!$Q715+Daten!$S715=3,1,0)</f>
        <v>0</v>
      </c>
      <c r="F715" s="173">
        <f ca="1">IF(AND(Limits!$Q$21=TRUE,Daten!O715=1)=TRUE,1,0)</f>
        <v>1</v>
      </c>
      <c r="G715" s="174">
        <f ca="1">IF(AND(Limits!$Q$25=TRUE,Daten!N715=1)=TRUE,1,0)</f>
        <v>0</v>
      </c>
      <c r="H715" s="174">
        <f ca="1">IF(AND(Limits!$Q$24=TRUE,Daten!M715=1)=TRUE,1,0)</f>
        <v>0</v>
      </c>
      <c r="I715" s="174">
        <f ca="1">IF(AND(Limits!$Q$23=TRUE,Daten!L715=1)=TRUE,1,0)</f>
        <v>0</v>
      </c>
      <c r="J715" s="174">
        <f ca="1">IF(AND(Limits!$Q$22=TRUE,Daten!K715=1)=TRUE,1,0)</f>
        <v>0</v>
      </c>
      <c r="K715" s="188">
        <f ca="1">IF(Daten!$V715=13,1,0)</f>
        <v>0</v>
      </c>
      <c r="L715" s="189">
        <f ca="1">IF(Daten!$V715&lt;&gt;Daten!$W715,1,IF(Daten!$V715=14,1,0))</f>
        <v>0</v>
      </c>
      <c r="M715" s="189">
        <f ca="1">IF(Daten!$V715&lt;&gt;Daten!$W715,1,IF(Daten!$V715=16,1,0))</f>
        <v>0</v>
      </c>
      <c r="N715" s="189">
        <f ca="1">IF(Daten!$W715=17,1,0)</f>
        <v>0</v>
      </c>
      <c r="O715" s="190">
        <f ca="1">IF(Daten!$X715=Sprache!$A$70,1,0)</f>
        <v>1</v>
      </c>
      <c r="P715" s="191">
        <f>IF(AND(Daten!$AQ715&lt;=KINVARO!$AW$3,Daten!$AR715&gt;=KINVARO!$AW$3)=TRUE,1,0)</f>
        <v>1</v>
      </c>
      <c r="Q715" s="192">
        <f>IF(AND(Daten!$AA715&lt;=KINVARO!$AW$4,Daten!$AB715&gt;=KINVARO!$AW$4)=TRUE,1,0)</f>
        <v>0</v>
      </c>
      <c r="R715" s="192"/>
      <c r="S715" s="192">
        <f>IF(AND(Daten!$AD715&lt;=Limits!$I$70,Daten!$AE715&gt;=Limits!$I$70)=TRUE,1,0)</f>
        <v>1</v>
      </c>
      <c r="T715" s="193">
        <f ca="1">IF(Daten!$Y715=Sprache!$A$135,1,0)</f>
        <v>0</v>
      </c>
      <c r="U715" s="124" t="str">
        <f ca="1">Sprache!$A$69</f>
        <v>S-35 Откидной подъемник</v>
      </c>
      <c r="V715" s="194" t="str">
        <f ca="1">Sprache!$A$74</f>
        <v>var</v>
      </c>
      <c r="W715" s="193" t="str">
        <f ca="1">Sprache!$A$74</f>
        <v>var</v>
      </c>
      <c r="X715" s="187" t="str">
        <f ca="1">Sprache!$A$70</f>
        <v>соединение с древесиной</v>
      </c>
      <c r="Y715" s="187" t="str">
        <f ca="1">Sprache!$A$136</f>
        <v>nein</v>
      </c>
      <c r="Z715" s="187" t="str">
        <f ca="1">Sprache!$A$79</f>
        <v>Створка</v>
      </c>
      <c r="AA715" s="187">
        <v>630</v>
      </c>
      <c r="AB715" s="124">
        <v>659</v>
      </c>
      <c r="AC715" s="187"/>
      <c r="AD715" s="195">
        <v>4.5</v>
      </c>
      <c r="AE715" s="196">
        <v>11</v>
      </c>
      <c r="AF715" s="263" t="str">
        <f>MID(Tabelle2[[#This Row],[bnr full]],1,4)</f>
        <v>F152</v>
      </c>
      <c r="AG715" s="264" t="str">
        <f>MID(Tabelle2[[#This Row],[bnr full]],5,3)</f>
        <v>000</v>
      </c>
      <c r="AH715" s="265" t="str">
        <f>MID(Tabelle2[[#This Row],[bnr full]],8,3)</f>
        <v>257</v>
      </c>
      <c r="AI715" s="264" t="str">
        <f>MID(Tabelle2[[#This Row],[bnr full]],11,3)</f>
        <v>201</v>
      </c>
      <c r="AJ715" s="252" t="str">
        <f>MID(Tabelle2[[#This Row],[bnr full]],11,3)</f>
        <v>201</v>
      </c>
      <c r="AK715" s="197" t="s">
        <v>811</v>
      </c>
      <c r="AL715" s="124" t="str">
        <f ca="1">Sprache!$A$111</f>
        <v>Комплект (Л + П)</v>
      </c>
      <c r="AM715" s="187" t="s">
        <v>25</v>
      </c>
      <c r="AN715" s="187" t="str">
        <f ca="1">Sprache!$A$122</f>
        <v>Силовой механизм C</v>
      </c>
      <c r="AO715" s="187" t="s">
        <v>25</v>
      </c>
      <c r="AP715" s="187" t="s">
        <v>25</v>
      </c>
      <c r="AQ715" s="187">
        <v>450</v>
      </c>
      <c r="AR715" s="124">
        <v>1200</v>
      </c>
      <c r="AS715" s="187"/>
      <c r="AT715" s="124"/>
      <c r="AV715"/>
      <c r="AX715" s="10"/>
      <c r="AY715" s="11"/>
      <c r="AZ715" s="2"/>
      <c r="BC715"/>
    </row>
    <row r="716" spans="1:55" hidden="1" x14ac:dyDescent="0.25">
      <c r="A716" s="12" t="str">
        <f ca="1">IF(F716+G716+H716+I716+J716+D716+E716=3,IF(Tabelle2[[#This Row],[Kappe Weiß]]=Limits!$R$29,1,""),"")</f>
        <v/>
      </c>
      <c r="B716" s="12" t="str">
        <f ca="1">IF(G716+H716+I716+J716+E716+F716=2,IF(Tabelle2[[#This Row],[Kappe Weiß]]=Limits!$R$29,1,""),"")</f>
        <v/>
      </c>
      <c r="C716" s="291">
        <v>0</v>
      </c>
      <c r="D716" s="171">
        <f>IF(Limits!$P$5=TRUE,1,0)</f>
        <v>0</v>
      </c>
      <c r="E716" s="172">
        <f>IF(Daten!$P716+Daten!$Q716+Daten!$S716=3,1,0)</f>
        <v>0</v>
      </c>
      <c r="F716" s="173">
        <f ca="1">IF(AND(Limits!$Q$21=TRUE,Daten!O716=1)=TRUE,1,0)</f>
        <v>1</v>
      </c>
      <c r="G716" s="174">
        <f ca="1">IF(AND(Limits!$Q$25=TRUE,Daten!N716=1)=TRUE,1,0)</f>
        <v>0</v>
      </c>
      <c r="H716" s="174">
        <f ca="1">IF(AND(Limits!$Q$24=TRUE,Daten!M716=1)=TRUE,1,0)</f>
        <v>0</v>
      </c>
      <c r="I716" s="174">
        <f ca="1">IF(AND(Limits!$Q$23=TRUE,Daten!L716=1)=TRUE,1,0)</f>
        <v>0</v>
      </c>
      <c r="J716" s="174">
        <f ca="1">IF(AND(Limits!$Q$22=TRUE,Daten!K716=1)=TRUE,1,0)</f>
        <v>0</v>
      </c>
      <c r="K716" s="188">
        <f ca="1">IF(Daten!$V716=13,1,0)</f>
        <v>0</v>
      </c>
      <c r="L716" s="189">
        <f ca="1">IF(Daten!$V716&lt;&gt;Daten!$W716,1,IF(Daten!$V716=14,1,0))</f>
        <v>0</v>
      </c>
      <c r="M716" s="189">
        <f ca="1">IF(Daten!$V716&lt;&gt;Daten!$W716,1,IF(Daten!$V716=16,1,0))</f>
        <v>0</v>
      </c>
      <c r="N716" s="189">
        <f ca="1">IF(Daten!$W716=17,1,0)</f>
        <v>0</v>
      </c>
      <c r="O716" s="190">
        <f ca="1">IF(Daten!$X716=Sprache!$A$70,1,0)</f>
        <v>1</v>
      </c>
      <c r="P716" s="191">
        <f>IF(AND(Daten!$AQ716&lt;=KINVARO!$AW$3,Daten!$AR716&gt;=KINVARO!$AW$3)=TRUE,1,0)</f>
        <v>1</v>
      </c>
      <c r="Q716" s="192">
        <f>IF(AND(Daten!$AA716&lt;=KINVARO!$AW$4,Daten!$AB716&gt;=KINVARO!$AW$4)=TRUE,1,0)</f>
        <v>0</v>
      </c>
      <c r="R716" s="192"/>
      <c r="S716" s="192">
        <f>IF(AND(Daten!$AD716&lt;=Limits!$I$70,Daten!$AE716&gt;=Limits!$I$70)=TRUE,1,0)</f>
        <v>1</v>
      </c>
      <c r="T716" s="193">
        <f ca="1">IF(Daten!$Y716=Sprache!$A$135,1,0)</f>
        <v>0</v>
      </c>
      <c r="U716" s="124" t="str">
        <f ca="1">Sprache!$A$69</f>
        <v>S-35 Откидной подъемник</v>
      </c>
      <c r="V716" s="194" t="str">
        <f ca="1">Sprache!$A$74</f>
        <v>var</v>
      </c>
      <c r="W716" s="193" t="str">
        <f ca="1">Sprache!$A$74</f>
        <v>var</v>
      </c>
      <c r="X716" s="187" t="str">
        <f ca="1">Sprache!$A$70</f>
        <v>соединение с древесиной</v>
      </c>
      <c r="Y716" s="187" t="str">
        <f ca="1">Sprache!$A$136</f>
        <v>nein</v>
      </c>
      <c r="Z716" s="187" t="str">
        <f ca="1">Sprache!$A$79</f>
        <v>Створка</v>
      </c>
      <c r="AA716" s="187">
        <v>630</v>
      </c>
      <c r="AB716" s="124">
        <v>659</v>
      </c>
      <c r="AC716" s="187"/>
      <c r="AD716" s="195">
        <v>8.5</v>
      </c>
      <c r="AE716" s="196">
        <v>16</v>
      </c>
      <c r="AF716" s="263" t="str">
        <f>MID(Tabelle2[[#This Row],[bnr full]],1,4)</f>
        <v>F152</v>
      </c>
      <c r="AG716" s="264" t="str">
        <f>MID(Tabelle2[[#This Row],[bnr full]],5,3)</f>
        <v>000</v>
      </c>
      <c r="AH716" s="265" t="str">
        <f>MID(Tabelle2[[#This Row],[bnr full]],8,3)</f>
        <v>258</v>
      </c>
      <c r="AI716" s="264" t="str">
        <f>MID(Tabelle2[[#This Row],[bnr full]],11,3)</f>
        <v>201</v>
      </c>
      <c r="AJ716" s="252" t="str">
        <f>MID(Tabelle2[[#This Row],[bnr full]],11,3)</f>
        <v>201</v>
      </c>
      <c r="AK716" s="197" t="s">
        <v>812</v>
      </c>
      <c r="AL716" s="124" t="str">
        <f ca="1">Sprache!$A$111</f>
        <v>Комплект (Л + П)</v>
      </c>
      <c r="AM716" s="187" t="s">
        <v>25</v>
      </c>
      <c r="AN716" s="187" t="str">
        <f ca="1">Sprache!$A$123</f>
        <v>Силовой механизм D</v>
      </c>
      <c r="AO716" s="187" t="s">
        <v>25</v>
      </c>
      <c r="AP716" s="187" t="s">
        <v>25</v>
      </c>
      <c r="AQ716" s="187">
        <v>450</v>
      </c>
      <c r="AR716" s="124">
        <v>1200</v>
      </c>
      <c r="AS716" s="187"/>
      <c r="AT716" s="124"/>
      <c r="AV716"/>
      <c r="AX716" s="10"/>
      <c r="AY716" s="11"/>
      <c r="AZ716" s="2"/>
      <c r="BC716"/>
    </row>
    <row r="717" spans="1:55" hidden="1" x14ac:dyDescent="0.25">
      <c r="A717" s="12" t="str">
        <f ca="1">IF(F717+G717+H717+I717+J717+D717+E717=3,IF(Tabelle2[[#This Row],[Kappe Weiß]]=Limits!$R$29,1,""),"")</f>
        <v/>
      </c>
      <c r="B717" s="12" t="str">
        <f ca="1">IF(G717+H717+I717+J717+E717+F717=2,IF(Tabelle2[[#This Row],[Kappe Weiß]]=Limits!$R$29,1,""),"")</f>
        <v/>
      </c>
      <c r="C717" s="291">
        <v>0</v>
      </c>
      <c r="D717" s="171">
        <f>IF(Limits!$P$5=TRUE,1,0)</f>
        <v>0</v>
      </c>
      <c r="E717" s="172">
        <f>IF(Daten!$P717+Daten!$Q717+Daten!$S717=3,1,0)</f>
        <v>0</v>
      </c>
      <c r="F717" s="173">
        <f ca="1">IF(AND(Limits!$Q$21=TRUE,Daten!O717=1)=TRUE,1,0)</f>
        <v>0</v>
      </c>
      <c r="G717" s="174">
        <f>IF(AND(Limits!$Q$25=TRUE,Daten!N717=1)=TRUE,1,0)</f>
        <v>0</v>
      </c>
      <c r="H717" s="174">
        <f>IF(AND(Limits!$Q$24=TRUE,Daten!M717=1)=TRUE,1,0)</f>
        <v>0</v>
      </c>
      <c r="I717" s="174">
        <f>IF(AND(Limits!$Q$23=TRUE,Daten!L717=1)=TRUE,1,0)</f>
        <v>0</v>
      </c>
      <c r="J717" s="174">
        <f>IF(AND(Limits!$Q$22=TRUE,Daten!K717=1)=TRUE,1,0)</f>
        <v>0</v>
      </c>
      <c r="K717" s="188">
        <f>IF(Daten!$V717=13,1,0)</f>
        <v>1</v>
      </c>
      <c r="L717" s="189">
        <f>IF(Daten!$V717&lt;&gt;Daten!$W717,1,IF(Daten!$V717=14,1,0))</f>
        <v>1</v>
      </c>
      <c r="M717" s="189">
        <f>IF(Daten!$V717&lt;&gt;Daten!$W717,1,IF(Daten!$V717=16,1,0))</f>
        <v>1</v>
      </c>
      <c r="N717" s="189">
        <f>IF(Daten!$W717=17,1,0)</f>
        <v>1</v>
      </c>
      <c r="O717" s="190">
        <f ca="1">IF(Daten!$X717=Sprache!$A$70,1,0)</f>
        <v>0</v>
      </c>
      <c r="P717" s="191">
        <f>IF(AND(Daten!$AQ717&lt;=KINVARO!$AW$3,Daten!$AR717&gt;=KINVARO!$AW$3)=TRUE,1,0)</f>
        <v>1</v>
      </c>
      <c r="Q717" s="192">
        <f>IF(AND(Daten!$AA717&lt;=KINVARO!$AW$4,Daten!$AB717&gt;=KINVARO!$AW$4)=TRUE,1,0)</f>
        <v>0</v>
      </c>
      <c r="R717" s="192"/>
      <c r="S717" s="192">
        <f>IF(AND(Daten!$AD717&lt;=Limits!$I$70,Daten!$AE717&gt;=Limits!$I$70)=TRUE,1,0)</f>
        <v>0</v>
      </c>
      <c r="T717" s="193">
        <f ca="1">IF(Daten!$Y717=Sprache!$A$135,1,0)</f>
        <v>0</v>
      </c>
      <c r="U717" s="124" t="str">
        <f ca="1">Sprache!$A$69</f>
        <v>S-35 Откидной подъемник</v>
      </c>
      <c r="V717" s="194">
        <v>13</v>
      </c>
      <c r="W717" s="193">
        <v>17</v>
      </c>
      <c r="X717" s="187" t="str">
        <f ca="1">Sprache!$A$142</f>
        <v>Alu (Rahmen 19mm)</v>
      </c>
      <c r="Y717" s="187" t="str">
        <f ca="1">Sprache!$A$136</f>
        <v>nein</v>
      </c>
      <c r="Z717" s="187" t="str">
        <f ca="1">Sprache!$A$79</f>
        <v>Створка</v>
      </c>
      <c r="AA717" s="187">
        <v>630</v>
      </c>
      <c r="AB717" s="124">
        <v>659</v>
      </c>
      <c r="AC717" s="187"/>
      <c r="AD717" s="195">
        <v>2</v>
      </c>
      <c r="AE717" s="196">
        <v>5.5</v>
      </c>
      <c r="AF717" s="263" t="str">
        <f>MID(Tabelle2[[#This Row],[bnr full]],1,4)</f>
        <v>F152</v>
      </c>
      <c r="AG717" s="264" t="str">
        <f>MID(Tabelle2[[#This Row],[bnr full]],5,3)</f>
        <v>000</v>
      </c>
      <c r="AH717" s="265" t="str">
        <f>MID(Tabelle2[[#This Row],[bnr full]],8,3)</f>
        <v>255</v>
      </c>
      <c r="AI717" s="264" t="str">
        <f>MID(Tabelle2[[#This Row],[bnr full]],11,3)</f>
        <v>201</v>
      </c>
      <c r="AJ717" s="252" t="str">
        <f>MID(Tabelle2[[#This Row],[bnr full]],11,3)</f>
        <v>201</v>
      </c>
      <c r="AK717" s="197" t="s">
        <v>809</v>
      </c>
      <c r="AL717" s="124" t="str">
        <f ca="1">Sprache!$A$111</f>
        <v>Комплект (Л + П)</v>
      </c>
      <c r="AM717" s="187" t="s">
        <v>25</v>
      </c>
      <c r="AN717" s="187" t="str">
        <f ca="1">Sprache!$A$120</f>
        <v>Силовой механизм A</v>
      </c>
      <c r="AO717" s="187" t="str">
        <f ca="1">Sprache!$A$147</f>
        <v>Адаптер под алюминиевые рамки к комплекту Kinvaro S-35</v>
      </c>
      <c r="AP717" s="225" t="s">
        <v>814</v>
      </c>
      <c r="AQ717" s="187">
        <v>450</v>
      </c>
      <c r="AR717" s="124">
        <v>1200</v>
      </c>
      <c r="AS717" s="187"/>
      <c r="AT717" s="124"/>
      <c r="AV717"/>
      <c r="AX717" s="10"/>
      <c r="AY717" s="11"/>
      <c r="AZ717" s="2"/>
      <c r="BC717"/>
    </row>
    <row r="718" spans="1:55" hidden="1" x14ac:dyDescent="0.25">
      <c r="A718" s="12" t="str">
        <f ca="1">IF(F718+G718+H718+I718+J718+D718+E718=3,IF(Tabelle2[[#This Row],[Kappe Weiß]]=Limits!$R$29,1,""),"")</f>
        <v/>
      </c>
      <c r="B718" s="12" t="str">
        <f ca="1">IF(G718+H718+I718+J718+E718+F718=2,IF(Tabelle2[[#This Row],[Kappe Weiß]]=Limits!$R$29,1,""),"")</f>
        <v/>
      </c>
      <c r="C718" s="291">
        <v>0</v>
      </c>
      <c r="D718" s="171">
        <f>IF(Limits!$P$5=TRUE,1,0)</f>
        <v>0</v>
      </c>
      <c r="E718" s="172">
        <f>IF(Daten!$P718+Daten!$Q718+Daten!$S718=3,1,0)</f>
        <v>0</v>
      </c>
      <c r="F718" s="173">
        <f ca="1">IF(AND(Limits!$Q$21=TRUE,Daten!O718=1)=TRUE,1,0)</f>
        <v>0</v>
      </c>
      <c r="G718" s="174">
        <f>IF(AND(Limits!$Q$25=TRUE,Daten!N718=1)=TRUE,1,0)</f>
        <v>0</v>
      </c>
      <c r="H718" s="174">
        <f>IF(AND(Limits!$Q$24=TRUE,Daten!M718=1)=TRUE,1,0)</f>
        <v>0</v>
      </c>
      <c r="I718" s="174">
        <f>IF(AND(Limits!$Q$23=TRUE,Daten!L718=1)=TRUE,1,0)</f>
        <v>0</v>
      </c>
      <c r="J718" s="174">
        <f>IF(AND(Limits!$Q$22=TRUE,Daten!K718=1)=TRUE,1,0)</f>
        <v>0</v>
      </c>
      <c r="K718" s="188">
        <f>IF(Daten!$V718=13,1,0)</f>
        <v>1</v>
      </c>
      <c r="L718" s="189">
        <f>IF(Daten!$V718&lt;&gt;Daten!$W718,1,IF(Daten!$V718=14,1,0))</f>
        <v>1</v>
      </c>
      <c r="M718" s="189">
        <f>IF(Daten!$V718&lt;&gt;Daten!$W718,1,IF(Daten!$V718=16,1,0))</f>
        <v>1</v>
      </c>
      <c r="N718" s="189">
        <f>IF(Daten!$W718=17,1,0)</f>
        <v>1</v>
      </c>
      <c r="O718" s="190">
        <f ca="1">IF(Daten!$X718=Sprache!$A$70,1,0)</f>
        <v>0</v>
      </c>
      <c r="P718" s="191">
        <f>IF(AND(Daten!$AQ718&lt;=KINVARO!$AW$3,Daten!$AR718&gt;=KINVARO!$AW$3)=TRUE,1,0)</f>
        <v>1</v>
      </c>
      <c r="Q718" s="192">
        <f>IF(AND(Daten!$AA718&lt;=KINVARO!$AW$4,Daten!$AB718&gt;=KINVARO!$AW$4)=TRUE,1,0)</f>
        <v>0</v>
      </c>
      <c r="R718" s="192"/>
      <c r="S718" s="192">
        <f>IF(AND(Daten!$AD718&lt;=Limits!$I$70,Daten!$AE718&gt;=Limits!$I$70)=TRUE,1,0)</f>
        <v>1</v>
      </c>
      <c r="T718" s="193">
        <f ca="1">IF(Daten!$Y718=Sprache!$A$135,1,0)</f>
        <v>0</v>
      </c>
      <c r="U718" s="124" t="str">
        <f ca="1">Sprache!$A$69</f>
        <v>S-35 Откидной подъемник</v>
      </c>
      <c r="V718" s="194">
        <v>13</v>
      </c>
      <c r="W718" s="193">
        <v>17</v>
      </c>
      <c r="X718" s="187" t="str">
        <f ca="1">Sprache!$A$142</f>
        <v>Alu (Rahmen 19mm)</v>
      </c>
      <c r="Y718" s="187" t="str">
        <f ca="1">Sprache!$A$136</f>
        <v>nein</v>
      </c>
      <c r="Z718" s="187" t="str">
        <f ca="1">Sprache!$A$79</f>
        <v>Створка</v>
      </c>
      <c r="AA718" s="187">
        <v>630</v>
      </c>
      <c r="AB718" s="124">
        <v>659</v>
      </c>
      <c r="AC718" s="187"/>
      <c r="AD718" s="195">
        <v>4.5</v>
      </c>
      <c r="AE718" s="196">
        <v>11</v>
      </c>
      <c r="AF718" s="263" t="str">
        <f>MID(Tabelle2[[#This Row],[bnr full]],1,4)</f>
        <v>F152</v>
      </c>
      <c r="AG718" s="264" t="str">
        <f>MID(Tabelle2[[#This Row],[bnr full]],5,3)</f>
        <v>000</v>
      </c>
      <c r="AH718" s="265" t="str">
        <f>MID(Tabelle2[[#This Row],[bnr full]],8,3)</f>
        <v>257</v>
      </c>
      <c r="AI718" s="264" t="str">
        <f>MID(Tabelle2[[#This Row],[bnr full]],11,3)</f>
        <v>201</v>
      </c>
      <c r="AJ718" s="252" t="str">
        <f>MID(Tabelle2[[#This Row],[bnr full]],11,3)</f>
        <v>201</v>
      </c>
      <c r="AK718" s="197" t="s">
        <v>811</v>
      </c>
      <c r="AL718" s="124" t="str">
        <f ca="1">Sprache!$A$111</f>
        <v>Комплект (Л + П)</v>
      </c>
      <c r="AM718" s="187" t="s">
        <v>25</v>
      </c>
      <c r="AN718" s="187" t="str">
        <f ca="1">Sprache!$A$122</f>
        <v>Силовой механизм C</v>
      </c>
      <c r="AO718" s="187" t="str">
        <f ca="1">Sprache!$A$147</f>
        <v>Адаптер под алюминиевые рамки к комплекту Kinvaro S-35</v>
      </c>
      <c r="AP718" s="225" t="s">
        <v>814</v>
      </c>
      <c r="AQ718" s="187">
        <v>450</v>
      </c>
      <c r="AR718" s="124">
        <v>1200</v>
      </c>
      <c r="AS718" s="187"/>
      <c r="AT718" s="124"/>
      <c r="AV718"/>
      <c r="AX718" s="10"/>
      <c r="AY718" s="11"/>
      <c r="AZ718" s="2"/>
      <c r="BC718"/>
    </row>
    <row r="719" spans="1:55" hidden="1" x14ac:dyDescent="0.25">
      <c r="A719" s="12" t="str">
        <f ca="1">IF(F719+G719+H719+I719+J719+D719+E719=3,IF(Tabelle2[[#This Row],[Kappe Weiß]]=Limits!$R$29,1,""),"")</f>
        <v/>
      </c>
      <c r="B719" s="12" t="str">
        <f ca="1">IF(G719+H719+I719+J719+E719+F719=2,IF(Tabelle2[[#This Row],[Kappe Weiß]]=Limits!$R$29,1,""),"")</f>
        <v/>
      </c>
      <c r="C719" s="291">
        <v>0</v>
      </c>
      <c r="D719" s="171">
        <f>IF(Limits!$P$5=TRUE,1,0)</f>
        <v>0</v>
      </c>
      <c r="E719" s="172">
        <f>IF(Daten!$P719+Daten!$Q719+Daten!$S719=3,1,0)</f>
        <v>0</v>
      </c>
      <c r="F719" s="173">
        <f ca="1">IF(AND(Limits!$Q$21=TRUE,Daten!O719=1)=TRUE,1,0)</f>
        <v>0</v>
      </c>
      <c r="G719" s="174">
        <f>IF(AND(Limits!$Q$25=TRUE,Daten!N719=1)=TRUE,1,0)</f>
        <v>0</v>
      </c>
      <c r="H719" s="174">
        <f>IF(AND(Limits!$Q$24=TRUE,Daten!M719=1)=TRUE,1,0)</f>
        <v>0</v>
      </c>
      <c r="I719" s="174">
        <f>IF(AND(Limits!$Q$23=TRUE,Daten!L719=1)=TRUE,1,0)</f>
        <v>0</v>
      </c>
      <c r="J719" s="174">
        <f>IF(AND(Limits!$Q$22=TRUE,Daten!K719=1)=TRUE,1,0)</f>
        <v>0</v>
      </c>
      <c r="K719" s="188">
        <f>IF(Daten!$V719=13,1,0)</f>
        <v>1</v>
      </c>
      <c r="L719" s="189">
        <f>IF(Daten!$V719&lt;&gt;Daten!$W719,1,IF(Daten!$V719=14,1,0))</f>
        <v>1</v>
      </c>
      <c r="M719" s="189">
        <f>IF(Daten!$V719&lt;&gt;Daten!$W719,1,IF(Daten!$V719=16,1,0))</f>
        <v>1</v>
      </c>
      <c r="N719" s="189">
        <f>IF(Daten!$W719=17,1,0)</f>
        <v>1</v>
      </c>
      <c r="O719" s="190">
        <f ca="1">IF(Daten!$X719=Sprache!$A$70,1,0)</f>
        <v>0</v>
      </c>
      <c r="P719" s="191">
        <f>IF(AND(Daten!$AQ719&lt;=KINVARO!$AW$3,Daten!$AR719&gt;=KINVARO!$AW$3)=TRUE,1,0)</f>
        <v>1</v>
      </c>
      <c r="Q719" s="192">
        <f>IF(AND(Daten!$AA719&lt;=KINVARO!$AW$4,Daten!$AB719&gt;=KINVARO!$AW$4)=TRUE,1,0)</f>
        <v>0</v>
      </c>
      <c r="R719" s="192"/>
      <c r="S719" s="192">
        <f>IF(AND(Daten!$AD719&lt;=Limits!$I$70,Daten!$AE719&gt;=Limits!$I$70)=TRUE,1,0)</f>
        <v>1</v>
      </c>
      <c r="T719" s="193">
        <f ca="1">IF(Daten!$Y719=Sprache!$A$135,1,0)</f>
        <v>0</v>
      </c>
      <c r="U719" s="124" t="str">
        <f ca="1">Sprache!$A$69</f>
        <v>S-35 Откидной подъемник</v>
      </c>
      <c r="V719" s="194">
        <v>13</v>
      </c>
      <c r="W719" s="193">
        <v>17</v>
      </c>
      <c r="X719" s="187" t="str">
        <f ca="1">Sprache!$A$142</f>
        <v>Alu (Rahmen 19mm)</v>
      </c>
      <c r="Y719" s="187" t="str">
        <f ca="1">Sprache!$A$136</f>
        <v>nein</v>
      </c>
      <c r="Z719" s="187" t="str">
        <f ca="1">Sprache!$A$79</f>
        <v>Створка</v>
      </c>
      <c r="AA719" s="187">
        <v>630</v>
      </c>
      <c r="AB719" s="124">
        <v>659</v>
      </c>
      <c r="AC719" s="187"/>
      <c r="AD719" s="195">
        <v>8.5</v>
      </c>
      <c r="AE719" s="196">
        <v>16</v>
      </c>
      <c r="AF719" s="263" t="str">
        <f>MID(Tabelle2[[#This Row],[bnr full]],1,4)</f>
        <v>F152</v>
      </c>
      <c r="AG719" s="264" t="str">
        <f>MID(Tabelle2[[#This Row],[bnr full]],5,3)</f>
        <v>000</v>
      </c>
      <c r="AH719" s="265" t="str">
        <f>MID(Tabelle2[[#This Row],[bnr full]],8,3)</f>
        <v>258</v>
      </c>
      <c r="AI719" s="264" t="str">
        <f>MID(Tabelle2[[#This Row],[bnr full]],11,3)</f>
        <v>201</v>
      </c>
      <c r="AJ719" s="252" t="str">
        <f>MID(Tabelle2[[#This Row],[bnr full]],11,3)</f>
        <v>201</v>
      </c>
      <c r="AK719" s="197" t="s">
        <v>812</v>
      </c>
      <c r="AL719" s="124" t="str">
        <f ca="1">Sprache!$A$111</f>
        <v>Комплект (Л + П)</v>
      </c>
      <c r="AM719" s="187" t="s">
        <v>25</v>
      </c>
      <c r="AN719" s="187" t="str">
        <f ca="1">Sprache!$A$123</f>
        <v>Силовой механизм D</v>
      </c>
      <c r="AO719" s="187" t="str">
        <f ca="1">Sprache!$A$147</f>
        <v>Адаптер под алюминиевые рамки к комплекту Kinvaro S-35</v>
      </c>
      <c r="AP719" s="225" t="s">
        <v>814</v>
      </c>
      <c r="AQ719" s="187">
        <v>450</v>
      </c>
      <c r="AR719" s="124">
        <v>1200</v>
      </c>
      <c r="AS719" s="187"/>
      <c r="AT719" s="124"/>
      <c r="AV719"/>
      <c r="AX719" s="10"/>
      <c r="AY719" s="11"/>
      <c r="AZ719" s="2"/>
      <c r="BC719"/>
    </row>
    <row r="720" spans="1:55" hidden="1" x14ac:dyDescent="0.25">
      <c r="A720" s="12" t="str">
        <f ca="1">IF(F720+G720+H720+I720+J720+D720+E720=3,IF(Tabelle2[[#This Row],[Kappe Weiß]]=Limits!$R$29,1,""),"")</f>
        <v/>
      </c>
      <c r="B720" s="12" t="str">
        <f ca="1">IF(G720+H720+I720+J720+E720+F720=2,IF(Tabelle2[[#This Row],[Kappe Weiß]]=Limits!$R$29,1,""),"")</f>
        <v/>
      </c>
      <c r="C720" s="292">
        <v>0</v>
      </c>
      <c r="D720" s="171">
        <f>IF(Limits!$P$5=TRUE,1,0)</f>
        <v>0</v>
      </c>
      <c r="E720" s="172">
        <f>IF(Daten!$P720+Daten!$Q720+Daten!$S720=3,1,0)</f>
        <v>0</v>
      </c>
      <c r="F720" s="173">
        <f ca="1">IF(AND(Limits!$Q$21=TRUE,Daten!O720=1)=TRUE,1,0)</f>
        <v>1</v>
      </c>
      <c r="G720" s="174">
        <f ca="1">IF(AND(Limits!$Q$25=TRUE,Daten!N720=1)=TRUE,1,0)</f>
        <v>0</v>
      </c>
      <c r="H720" s="174">
        <f ca="1">IF(AND(Limits!$Q$24=TRUE,Daten!M720=1)=TRUE,1,0)</f>
        <v>0</v>
      </c>
      <c r="I720" s="174">
        <f ca="1">IF(AND(Limits!$Q$23=TRUE,Daten!L720=1)=TRUE,1,0)</f>
        <v>0</v>
      </c>
      <c r="J720" s="174">
        <f ca="1">IF(AND(Limits!$Q$22=TRUE,Daten!K720=1)=TRUE,1,0)</f>
        <v>0</v>
      </c>
      <c r="K720" s="188">
        <f ca="1">IF(Daten!$V720=13,1,0)</f>
        <v>0</v>
      </c>
      <c r="L720" s="189">
        <f ca="1">IF(Daten!$V720&lt;&gt;Daten!$W720,1,IF(Daten!$V720=14,1,0))</f>
        <v>0</v>
      </c>
      <c r="M720" s="189">
        <f ca="1">IF(Daten!$V720&lt;&gt;Daten!$W720,1,IF(Daten!$V720=16,1,0))</f>
        <v>0</v>
      </c>
      <c r="N720" s="189">
        <f ca="1">IF(Daten!$W720=17,1,0)</f>
        <v>0</v>
      </c>
      <c r="O720" s="190">
        <f ca="1">IF(Daten!$X720=Sprache!$A$70,1,0)</f>
        <v>1</v>
      </c>
      <c r="P720" s="198">
        <f>IF(AND(Daten!$AQ720&lt;=KINVARO!$AW$3,Daten!$AR720&gt;=KINVARO!$AW$3)=TRUE,1,0)</f>
        <v>1</v>
      </c>
      <c r="Q720" s="199">
        <f>IF(AND(Daten!$AA720&lt;=KINVARO!$AW$4,Daten!$AB720&gt;=KINVARO!$AW$4)=TRUE,1,0)</f>
        <v>0</v>
      </c>
      <c r="R720" s="199"/>
      <c r="S720" s="199">
        <f>IF(AND(Daten!$AD720&lt;=Limits!$I$70,Daten!$AE720&gt;=Limits!$I$70)=TRUE,1,0)</f>
        <v>0</v>
      </c>
      <c r="T720" s="200">
        <f ca="1">IF(Daten!$Y720=Sprache!$A$135,1,0)</f>
        <v>0</v>
      </c>
      <c r="U720" s="201" t="str">
        <f ca="1">Sprache!$A$69</f>
        <v>S-35 Откидной подъемник</v>
      </c>
      <c r="V720" s="202" t="str">
        <f ca="1">Sprache!$A$74</f>
        <v>var</v>
      </c>
      <c r="W720" s="200" t="str">
        <f ca="1">Sprache!$A$74</f>
        <v>var</v>
      </c>
      <c r="X720" s="203" t="str">
        <f ca="1">Sprache!$A$70</f>
        <v>соединение с древесиной</v>
      </c>
      <c r="Y720" s="187" t="str">
        <f ca="1">Sprache!$A$136</f>
        <v>nein</v>
      </c>
      <c r="Z720" s="203" t="str">
        <f ca="1">Sprache!$A$79</f>
        <v>Створка</v>
      </c>
      <c r="AA720" s="203">
        <v>660</v>
      </c>
      <c r="AB720" s="201">
        <v>689</v>
      </c>
      <c r="AC720" s="203"/>
      <c r="AD720" s="204">
        <v>2</v>
      </c>
      <c r="AE720" s="205">
        <v>5</v>
      </c>
      <c r="AF720" s="266" t="str">
        <f>MID(Tabelle2[[#This Row],[bnr full]],1,4)</f>
        <v>F152</v>
      </c>
      <c r="AG720" s="267" t="str">
        <f>MID(Tabelle2[[#This Row],[bnr full]],5,3)</f>
        <v>000</v>
      </c>
      <c r="AH720" s="268" t="str">
        <f>MID(Tabelle2[[#This Row],[bnr full]],8,3)</f>
        <v>255</v>
      </c>
      <c r="AI720" s="267" t="str">
        <f>MID(Tabelle2[[#This Row],[bnr full]],11,3)</f>
        <v>201</v>
      </c>
      <c r="AJ720" s="253" t="str">
        <f>MID(Tabelle2[[#This Row],[bnr full]],11,3)</f>
        <v>201</v>
      </c>
      <c r="AK720" s="206" t="s">
        <v>809</v>
      </c>
      <c r="AL720" s="201" t="str">
        <f ca="1">Sprache!$A$111</f>
        <v>Комплект (Л + П)</v>
      </c>
      <c r="AM720" s="203" t="s">
        <v>25</v>
      </c>
      <c r="AN720" s="203" t="str">
        <f ca="1">Sprache!$A$120</f>
        <v>Силовой механизм A</v>
      </c>
      <c r="AO720" s="203" t="s">
        <v>25</v>
      </c>
      <c r="AP720" s="203" t="s">
        <v>25</v>
      </c>
      <c r="AQ720" s="203">
        <v>450</v>
      </c>
      <c r="AR720" s="201">
        <v>1200</v>
      </c>
      <c r="AS720" s="187"/>
      <c r="AT720" s="124"/>
      <c r="AV720"/>
      <c r="AX720" s="10"/>
      <c r="AY720" s="11"/>
      <c r="AZ720" s="2"/>
      <c r="BC720"/>
    </row>
    <row r="721" spans="1:55" hidden="1" x14ac:dyDescent="0.25">
      <c r="A721" s="12" t="str">
        <f ca="1">IF(F721+G721+H721+I721+J721+D721+E721=3,IF(Tabelle2[[#This Row],[Kappe Weiß]]=Limits!$R$29,1,""),"")</f>
        <v/>
      </c>
      <c r="B721" s="12" t="str">
        <f ca="1">IF(G721+H721+I721+J721+E721+F721=2,IF(Tabelle2[[#This Row],[Kappe Weiß]]=Limits!$R$29,1,""),"")</f>
        <v/>
      </c>
      <c r="C721" s="291">
        <v>0</v>
      </c>
      <c r="D721" s="171">
        <f>IF(Limits!$P$5=TRUE,1,0)</f>
        <v>0</v>
      </c>
      <c r="E721" s="172">
        <f>IF(Daten!$P721+Daten!$Q721+Daten!$S721=3,1,0)</f>
        <v>0</v>
      </c>
      <c r="F721" s="173">
        <f ca="1">IF(AND(Limits!$Q$21=TRUE,Daten!O721=1)=TRUE,1,0)</f>
        <v>1</v>
      </c>
      <c r="G721" s="174">
        <f ca="1">IF(AND(Limits!$Q$25=TRUE,Daten!N721=1)=TRUE,1,0)</f>
        <v>0</v>
      </c>
      <c r="H721" s="174">
        <f ca="1">IF(AND(Limits!$Q$24=TRUE,Daten!M721=1)=TRUE,1,0)</f>
        <v>0</v>
      </c>
      <c r="I721" s="174">
        <f ca="1">IF(AND(Limits!$Q$23=TRUE,Daten!L721=1)=TRUE,1,0)</f>
        <v>0</v>
      </c>
      <c r="J721" s="174">
        <f ca="1">IF(AND(Limits!$Q$22=TRUE,Daten!K721=1)=TRUE,1,0)</f>
        <v>0</v>
      </c>
      <c r="K721" s="188">
        <f ca="1">IF(Daten!$V721=13,1,0)</f>
        <v>0</v>
      </c>
      <c r="L721" s="189">
        <f ca="1">IF(Daten!$V721&lt;&gt;Daten!$W721,1,IF(Daten!$V721=14,1,0))</f>
        <v>0</v>
      </c>
      <c r="M721" s="189">
        <f ca="1">IF(Daten!$V721&lt;&gt;Daten!$W721,1,IF(Daten!$V721=16,1,0))</f>
        <v>0</v>
      </c>
      <c r="N721" s="189">
        <f ca="1">IF(Daten!$W721=17,1,0)</f>
        <v>0</v>
      </c>
      <c r="O721" s="190">
        <f ca="1">IF(Daten!$X721=Sprache!$A$70,1,0)</f>
        <v>1</v>
      </c>
      <c r="P721" s="191">
        <f>IF(AND(Daten!$AQ721&lt;=KINVARO!$AW$3,Daten!$AR721&gt;=KINVARO!$AW$3)=TRUE,1,0)</f>
        <v>1</v>
      </c>
      <c r="Q721" s="192">
        <f>IF(AND(Daten!$AA721&lt;=KINVARO!$AW$4,Daten!$AB721&gt;=KINVARO!$AW$4)=TRUE,1,0)</f>
        <v>0</v>
      </c>
      <c r="R721" s="192"/>
      <c r="S721" s="192">
        <f>IF(AND(Daten!$AD721&lt;=Limits!$I$70,Daten!$AE721&gt;=Limits!$I$70)=TRUE,1,0)</f>
        <v>1</v>
      </c>
      <c r="T721" s="193">
        <f ca="1">IF(Daten!$Y721=Sprache!$A$135,1,0)</f>
        <v>0</v>
      </c>
      <c r="U721" s="124" t="str">
        <f ca="1">Sprache!$A$69</f>
        <v>S-35 Откидной подъемник</v>
      </c>
      <c r="V721" s="194" t="str">
        <f ca="1">Sprache!$A$74</f>
        <v>var</v>
      </c>
      <c r="W721" s="193" t="str">
        <f ca="1">Sprache!$A$74</f>
        <v>var</v>
      </c>
      <c r="X721" s="187" t="str">
        <f ca="1">Sprache!$A$70</f>
        <v>соединение с древесиной</v>
      </c>
      <c r="Y721" s="187" t="str">
        <f ca="1">Sprache!$A$136</f>
        <v>nein</v>
      </c>
      <c r="Z721" s="187" t="str">
        <f ca="1">Sprache!$A$79</f>
        <v>Створка</v>
      </c>
      <c r="AA721" s="187">
        <v>660</v>
      </c>
      <c r="AB721" s="124">
        <v>689</v>
      </c>
      <c r="AC721" s="187"/>
      <c r="AD721" s="195">
        <v>4</v>
      </c>
      <c r="AE721" s="196">
        <v>10</v>
      </c>
      <c r="AF721" s="263" t="str">
        <f>MID(Tabelle2[[#This Row],[bnr full]],1,4)</f>
        <v>F152</v>
      </c>
      <c r="AG721" s="264" t="str">
        <f>MID(Tabelle2[[#This Row],[bnr full]],5,3)</f>
        <v>000</v>
      </c>
      <c r="AH721" s="265" t="str">
        <f>MID(Tabelle2[[#This Row],[bnr full]],8,3)</f>
        <v>257</v>
      </c>
      <c r="AI721" s="264" t="str">
        <f>MID(Tabelle2[[#This Row],[bnr full]],11,3)</f>
        <v>201</v>
      </c>
      <c r="AJ721" s="252" t="str">
        <f>MID(Tabelle2[[#This Row],[bnr full]],11,3)</f>
        <v>201</v>
      </c>
      <c r="AK721" s="197" t="s">
        <v>811</v>
      </c>
      <c r="AL721" s="124" t="str">
        <f ca="1">Sprache!$A$111</f>
        <v>Комплект (Л + П)</v>
      </c>
      <c r="AM721" s="187" t="s">
        <v>25</v>
      </c>
      <c r="AN721" s="187" t="str">
        <f ca="1">Sprache!$A$122</f>
        <v>Силовой механизм C</v>
      </c>
      <c r="AO721" s="187" t="s">
        <v>25</v>
      </c>
      <c r="AP721" s="187" t="s">
        <v>25</v>
      </c>
      <c r="AQ721" s="187">
        <v>450</v>
      </c>
      <c r="AR721" s="124">
        <v>1200</v>
      </c>
      <c r="AS721" s="187"/>
      <c r="AT721" s="124"/>
      <c r="AV721"/>
      <c r="AX721" s="10"/>
      <c r="AY721" s="11"/>
      <c r="AZ721" s="2"/>
      <c r="BC721"/>
    </row>
    <row r="722" spans="1:55" hidden="1" x14ac:dyDescent="0.25">
      <c r="A722" s="12" t="str">
        <f ca="1">IF(F722+G722+H722+I722+J722+D722+E722=3,IF(Tabelle2[[#This Row],[Kappe Weiß]]=Limits!$R$29,1,""),"")</f>
        <v/>
      </c>
      <c r="B722" s="12" t="str">
        <f ca="1">IF(G722+H722+I722+J722+E722+F722=2,IF(Tabelle2[[#This Row],[Kappe Weiß]]=Limits!$R$29,1,""),"")</f>
        <v/>
      </c>
      <c r="C722" s="291">
        <v>0</v>
      </c>
      <c r="D722" s="171">
        <f>IF(Limits!$P$5=TRUE,1,0)</f>
        <v>0</v>
      </c>
      <c r="E722" s="172">
        <f>IF(Daten!$P722+Daten!$Q722+Daten!$S722=3,1,0)</f>
        <v>0</v>
      </c>
      <c r="F722" s="173">
        <f ca="1">IF(AND(Limits!$Q$21=TRUE,Daten!O722=1)=TRUE,1,0)</f>
        <v>1</v>
      </c>
      <c r="G722" s="174">
        <f ca="1">IF(AND(Limits!$Q$25=TRUE,Daten!N722=1)=TRUE,1,0)</f>
        <v>0</v>
      </c>
      <c r="H722" s="174">
        <f ca="1">IF(AND(Limits!$Q$24=TRUE,Daten!M722=1)=TRUE,1,0)</f>
        <v>0</v>
      </c>
      <c r="I722" s="174">
        <f ca="1">IF(AND(Limits!$Q$23=TRUE,Daten!L722=1)=TRUE,1,0)</f>
        <v>0</v>
      </c>
      <c r="J722" s="174">
        <f ca="1">IF(AND(Limits!$Q$22=TRUE,Daten!K722=1)=TRUE,1,0)</f>
        <v>0</v>
      </c>
      <c r="K722" s="188">
        <f ca="1">IF(Daten!$V722=13,1,0)</f>
        <v>0</v>
      </c>
      <c r="L722" s="189">
        <f ca="1">IF(Daten!$V722&lt;&gt;Daten!$W722,1,IF(Daten!$V722=14,1,0))</f>
        <v>0</v>
      </c>
      <c r="M722" s="189">
        <f ca="1">IF(Daten!$V722&lt;&gt;Daten!$W722,1,IF(Daten!$V722=16,1,0))</f>
        <v>0</v>
      </c>
      <c r="N722" s="189">
        <f ca="1">IF(Daten!$W722=17,1,0)</f>
        <v>0</v>
      </c>
      <c r="O722" s="190">
        <f ca="1">IF(Daten!$X722=Sprache!$A$70,1,0)</f>
        <v>1</v>
      </c>
      <c r="P722" s="191">
        <f>IF(AND(Daten!$AQ722&lt;=KINVARO!$AW$3,Daten!$AR722&gt;=KINVARO!$AW$3)=TRUE,1,0)</f>
        <v>1</v>
      </c>
      <c r="Q722" s="192">
        <f>IF(AND(Daten!$AA722&lt;=KINVARO!$AW$4,Daten!$AB722&gt;=KINVARO!$AW$4)=TRUE,1,0)</f>
        <v>0</v>
      </c>
      <c r="R722" s="192"/>
      <c r="S722" s="192">
        <f>IF(AND(Daten!$AD722&lt;=Limits!$I$70,Daten!$AE722&gt;=Limits!$I$70)=TRUE,1,0)</f>
        <v>1</v>
      </c>
      <c r="T722" s="193">
        <f ca="1">IF(Daten!$Y722=Sprache!$A$135,1,0)</f>
        <v>0</v>
      </c>
      <c r="U722" s="124" t="str">
        <f ca="1">Sprache!$A$69</f>
        <v>S-35 Откидной подъемник</v>
      </c>
      <c r="V722" s="194" t="str">
        <f ca="1">Sprache!$A$74</f>
        <v>var</v>
      </c>
      <c r="W722" s="193" t="str">
        <f ca="1">Sprache!$A$74</f>
        <v>var</v>
      </c>
      <c r="X722" s="187" t="str">
        <f ca="1">Sprache!$A$70</f>
        <v>соединение с древесиной</v>
      </c>
      <c r="Y722" s="187" t="str">
        <f ca="1">Sprache!$A$136</f>
        <v>nein</v>
      </c>
      <c r="Z722" s="187" t="str">
        <f ca="1">Sprache!$A$79</f>
        <v>Створка</v>
      </c>
      <c r="AA722" s="187">
        <v>660</v>
      </c>
      <c r="AB722" s="124">
        <v>689</v>
      </c>
      <c r="AC722" s="187"/>
      <c r="AD722" s="195">
        <v>7.5</v>
      </c>
      <c r="AE722" s="196">
        <v>15</v>
      </c>
      <c r="AF722" s="263" t="str">
        <f>MID(Tabelle2[[#This Row],[bnr full]],1,4)</f>
        <v>F152</v>
      </c>
      <c r="AG722" s="264" t="str">
        <f>MID(Tabelle2[[#This Row],[bnr full]],5,3)</f>
        <v>000</v>
      </c>
      <c r="AH722" s="265" t="str">
        <f>MID(Tabelle2[[#This Row],[bnr full]],8,3)</f>
        <v>258</v>
      </c>
      <c r="AI722" s="264" t="str">
        <f>MID(Tabelle2[[#This Row],[bnr full]],11,3)</f>
        <v>201</v>
      </c>
      <c r="AJ722" s="252" t="str">
        <f>MID(Tabelle2[[#This Row],[bnr full]],11,3)</f>
        <v>201</v>
      </c>
      <c r="AK722" s="197" t="s">
        <v>812</v>
      </c>
      <c r="AL722" s="124" t="str">
        <f ca="1">Sprache!$A$111</f>
        <v>Комплект (Л + П)</v>
      </c>
      <c r="AM722" s="187" t="s">
        <v>25</v>
      </c>
      <c r="AN722" s="187" t="str">
        <f ca="1">Sprache!$A$123</f>
        <v>Силовой механизм D</v>
      </c>
      <c r="AO722" s="187" t="s">
        <v>25</v>
      </c>
      <c r="AP722" s="187" t="s">
        <v>25</v>
      </c>
      <c r="AQ722" s="187">
        <v>450</v>
      </c>
      <c r="AR722" s="124">
        <v>1200</v>
      </c>
      <c r="AS722" s="187"/>
      <c r="AT722" s="124"/>
      <c r="AV722"/>
      <c r="AX722" s="10"/>
      <c r="AY722" s="11"/>
      <c r="AZ722" s="2"/>
      <c r="BC722"/>
    </row>
    <row r="723" spans="1:55" hidden="1" x14ac:dyDescent="0.25">
      <c r="A723" s="12" t="str">
        <f ca="1">IF(F723+G723+H723+I723+J723+D723+E723=3,IF(Tabelle2[[#This Row],[Kappe Weiß]]=Limits!$R$29,1,""),"")</f>
        <v/>
      </c>
      <c r="B723" s="12" t="str">
        <f ca="1">IF(G723+H723+I723+J723+E723+F723=2,IF(Tabelle2[[#This Row],[Kappe Weiß]]=Limits!$R$29,1,""),"")</f>
        <v/>
      </c>
      <c r="C723" s="291">
        <v>0</v>
      </c>
      <c r="D723" s="171">
        <f>IF(Limits!$P$5=TRUE,1,0)</f>
        <v>0</v>
      </c>
      <c r="E723" s="172">
        <f>IF(Daten!$P723+Daten!$Q723+Daten!$S723=3,1,0)</f>
        <v>0</v>
      </c>
      <c r="F723" s="173">
        <f ca="1">IF(AND(Limits!$Q$21=TRUE,Daten!O723=1)=TRUE,1,0)</f>
        <v>1</v>
      </c>
      <c r="G723" s="174">
        <f ca="1">IF(AND(Limits!$Q$25=TRUE,Daten!N723=1)=TRUE,1,0)</f>
        <v>0</v>
      </c>
      <c r="H723" s="174">
        <f ca="1">IF(AND(Limits!$Q$24=TRUE,Daten!M723=1)=TRUE,1,0)</f>
        <v>0</v>
      </c>
      <c r="I723" s="174">
        <f ca="1">IF(AND(Limits!$Q$23=TRUE,Daten!L723=1)=TRUE,1,0)</f>
        <v>0</v>
      </c>
      <c r="J723" s="174">
        <f ca="1">IF(AND(Limits!$Q$22=TRUE,Daten!K723=1)=TRUE,1,0)</f>
        <v>0</v>
      </c>
      <c r="K723" s="188">
        <f ca="1">IF(Daten!$V723=13,1,0)</f>
        <v>0</v>
      </c>
      <c r="L723" s="189">
        <f ca="1">IF(Daten!$V723&lt;&gt;Daten!$W723,1,IF(Daten!$V723=14,1,0))</f>
        <v>0</v>
      </c>
      <c r="M723" s="189">
        <f ca="1">IF(Daten!$V723&lt;&gt;Daten!$W723,1,IF(Daten!$V723=16,1,0))</f>
        <v>0</v>
      </c>
      <c r="N723" s="189">
        <f ca="1">IF(Daten!$W723=17,1,0)</f>
        <v>0</v>
      </c>
      <c r="O723" s="190">
        <f ca="1">IF(Daten!$X723=Sprache!$A$70,1,0)</f>
        <v>1</v>
      </c>
      <c r="P723" s="191">
        <f>IF(AND(Daten!$AQ723&lt;=KINVARO!$AW$3,Daten!$AR723&gt;=KINVARO!$AW$3)=TRUE,1,0)</f>
        <v>1</v>
      </c>
      <c r="Q723" s="192">
        <f>IF(AND(Daten!$AA723&lt;=KINVARO!$AW$4,Daten!$AB723&gt;=KINVARO!$AW$4)=TRUE,1,0)</f>
        <v>0</v>
      </c>
      <c r="R723" s="192"/>
      <c r="S723" s="192">
        <f>IF(AND(Daten!$AD723&lt;=Limits!$I$70,Daten!$AE723&gt;=Limits!$I$70)=TRUE,1,0)</f>
        <v>0</v>
      </c>
      <c r="T723" s="193">
        <f ca="1">IF(Daten!$Y723=Sprache!$A$135,1,0)</f>
        <v>0</v>
      </c>
      <c r="U723" s="124" t="str">
        <f ca="1">Sprache!$A$69</f>
        <v>S-35 Откидной подъемник</v>
      </c>
      <c r="V723" s="194" t="str">
        <f ca="1">Sprache!$A$74</f>
        <v>var</v>
      </c>
      <c r="W723" s="193" t="str">
        <f ca="1">Sprache!$A$74</f>
        <v>var</v>
      </c>
      <c r="X723" s="187" t="str">
        <f ca="1">Sprache!$A$70</f>
        <v>соединение с древесиной</v>
      </c>
      <c r="Y723" s="187" t="str">
        <f ca="1">Sprache!$A$136</f>
        <v>nein</v>
      </c>
      <c r="Z723" s="187" t="str">
        <f ca="1">Sprache!$A$79</f>
        <v>Створка</v>
      </c>
      <c r="AA723" s="187">
        <v>660</v>
      </c>
      <c r="AB723" s="124">
        <v>689</v>
      </c>
      <c r="AC723" s="187"/>
      <c r="AD723" s="195">
        <v>12</v>
      </c>
      <c r="AE723" s="196">
        <v>16.5</v>
      </c>
      <c r="AF723" s="263" t="str">
        <f>MID(Tabelle2[[#This Row],[bnr full]],1,4)</f>
        <v>F152</v>
      </c>
      <c r="AG723" s="264" t="str">
        <f>MID(Tabelle2[[#This Row],[bnr full]],5,3)</f>
        <v>000</v>
      </c>
      <c r="AH723" s="265" t="str">
        <f>MID(Tabelle2[[#This Row],[bnr full]],8,3)</f>
        <v>259</v>
      </c>
      <c r="AI723" s="264" t="str">
        <f>MID(Tabelle2[[#This Row],[bnr full]],11,3)</f>
        <v>201</v>
      </c>
      <c r="AJ723" s="252" t="str">
        <f>MID(Tabelle2[[#This Row],[bnr full]],11,3)</f>
        <v>201</v>
      </c>
      <c r="AK723" s="197" t="s">
        <v>813</v>
      </c>
      <c r="AL723" s="124" t="str">
        <f ca="1">Sprache!$A$111</f>
        <v>Комплект (Л + П)</v>
      </c>
      <c r="AM723" s="187" t="s">
        <v>25</v>
      </c>
      <c r="AN723" s="187" t="str">
        <f ca="1">Sprache!$A$124</f>
        <v>Силовой механизм E</v>
      </c>
      <c r="AO723" s="187" t="s">
        <v>25</v>
      </c>
      <c r="AP723" s="187" t="s">
        <v>25</v>
      </c>
      <c r="AQ723" s="187">
        <v>450</v>
      </c>
      <c r="AR723" s="124">
        <v>1200</v>
      </c>
      <c r="AS723" s="187"/>
      <c r="AT723" s="124"/>
      <c r="AV723"/>
      <c r="AX723" s="10"/>
      <c r="AY723" s="11"/>
      <c r="AZ723" s="2"/>
      <c r="BC723"/>
    </row>
    <row r="724" spans="1:55" hidden="1" x14ac:dyDescent="0.25">
      <c r="A724" s="12" t="str">
        <f ca="1">IF(F724+G724+H724+I724+J724+D724+E724=3,IF(Tabelle2[[#This Row],[Kappe Weiß]]=Limits!$R$29,1,""),"")</f>
        <v/>
      </c>
      <c r="B724" s="12" t="str">
        <f ca="1">IF(G724+H724+I724+J724+E724+F724=2,IF(Tabelle2[[#This Row],[Kappe Weiß]]=Limits!$R$29,1,""),"")</f>
        <v/>
      </c>
      <c r="C724" s="291">
        <v>0</v>
      </c>
      <c r="D724" s="171">
        <f>IF(Limits!$P$5=TRUE,1,0)</f>
        <v>0</v>
      </c>
      <c r="E724" s="172">
        <f>IF(Daten!$P724+Daten!$Q724+Daten!$S724=3,1,0)</f>
        <v>0</v>
      </c>
      <c r="F724" s="173">
        <f ca="1">IF(AND(Limits!$Q$21=TRUE,Daten!O724=1)=TRUE,1,0)</f>
        <v>0</v>
      </c>
      <c r="G724" s="174">
        <f>IF(AND(Limits!$Q$25=TRUE,Daten!N724=1)=TRUE,1,0)</f>
        <v>0</v>
      </c>
      <c r="H724" s="174">
        <f>IF(AND(Limits!$Q$24=TRUE,Daten!M724=1)=TRUE,1,0)</f>
        <v>0</v>
      </c>
      <c r="I724" s="174">
        <f>IF(AND(Limits!$Q$23=TRUE,Daten!L724=1)=TRUE,1,0)</f>
        <v>0</v>
      </c>
      <c r="J724" s="174">
        <f>IF(AND(Limits!$Q$22=TRUE,Daten!K724=1)=TRUE,1,0)</f>
        <v>0</v>
      </c>
      <c r="K724" s="188">
        <f>IF(Daten!$V724=13,1,0)</f>
        <v>1</v>
      </c>
      <c r="L724" s="189">
        <f>IF(Daten!$V724&lt;&gt;Daten!$W724,1,IF(Daten!$V724=14,1,0))</f>
        <v>1</v>
      </c>
      <c r="M724" s="189">
        <f>IF(Daten!$V724&lt;&gt;Daten!$W724,1,IF(Daten!$V724=16,1,0))</f>
        <v>1</v>
      </c>
      <c r="N724" s="189">
        <f>IF(Daten!$W724=17,1,0)</f>
        <v>1</v>
      </c>
      <c r="O724" s="190">
        <f ca="1">IF(Daten!$X724=Sprache!$A$70,1,0)</f>
        <v>0</v>
      </c>
      <c r="P724" s="191">
        <f>IF(AND(Daten!$AQ724&lt;=KINVARO!$AW$3,Daten!$AR724&gt;=KINVARO!$AW$3)=TRUE,1,0)</f>
        <v>1</v>
      </c>
      <c r="Q724" s="192">
        <f>IF(AND(Daten!$AA724&lt;=KINVARO!$AW$4,Daten!$AB724&gt;=KINVARO!$AW$4)=TRUE,1,0)</f>
        <v>0</v>
      </c>
      <c r="R724" s="192"/>
      <c r="S724" s="192">
        <f>IF(AND(Daten!$AD724&lt;=Limits!$I$70,Daten!$AE724&gt;=Limits!$I$70)=TRUE,1,0)</f>
        <v>0</v>
      </c>
      <c r="T724" s="193">
        <f ca="1">IF(Daten!$Y724=Sprache!$A$135,1,0)</f>
        <v>0</v>
      </c>
      <c r="U724" s="124" t="str">
        <f ca="1">Sprache!$A$69</f>
        <v>S-35 Откидной подъемник</v>
      </c>
      <c r="V724" s="194">
        <v>13</v>
      </c>
      <c r="W724" s="193">
        <v>17</v>
      </c>
      <c r="X724" s="187" t="str">
        <f ca="1">Sprache!$A$142</f>
        <v>Alu (Rahmen 19mm)</v>
      </c>
      <c r="Y724" s="187" t="str">
        <f ca="1">Sprache!$A$136</f>
        <v>nein</v>
      </c>
      <c r="Z724" s="187" t="str">
        <f ca="1">Sprache!$A$79</f>
        <v>Створка</v>
      </c>
      <c r="AA724" s="187">
        <v>660</v>
      </c>
      <c r="AB724" s="124">
        <v>689</v>
      </c>
      <c r="AC724" s="187"/>
      <c r="AD724" s="195">
        <v>2</v>
      </c>
      <c r="AE724" s="196">
        <v>5</v>
      </c>
      <c r="AF724" s="263" t="str">
        <f>MID(Tabelle2[[#This Row],[bnr full]],1,4)</f>
        <v>F152</v>
      </c>
      <c r="AG724" s="264" t="str">
        <f>MID(Tabelle2[[#This Row],[bnr full]],5,3)</f>
        <v>000</v>
      </c>
      <c r="AH724" s="265" t="str">
        <f>MID(Tabelle2[[#This Row],[bnr full]],8,3)</f>
        <v>255</v>
      </c>
      <c r="AI724" s="264" t="str">
        <f>MID(Tabelle2[[#This Row],[bnr full]],11,3)</f>
        <v>201</v>
      </c>
      <c r="AJ724" s="252" t="str">
        <f>MID(Tabelle2[[#This Row],[bnr full]],11,3)</f>
        <v>201</v>
      </c>
      <c r="AK724" s="197" t="s">
        <v>809</v>
      </c>
      <c r="AL724" s="124" t="str">
        <f ca="1">Sprache!$A$111</f>
        <v>Комплект (Л + П)</v>
      </c>
      <c r="AM724" s="187" t="s">
        <v>25</v>
      </c>
      <c r="AN724" s="187" t="str">
        <f ca="1">Sprache!$A$120</f>
        <v>Силовой механизм A</v>
      </c>
      <c r="AO724" s="187" t="str">
        <f ca="1">Sprache!$A$147</f>
        <v>Адаптер под алюминиевые рамки к комплекту Kinvaro S-35</v>
      </c>
      <c r="AP724" s="225" t="s">
        <v>814</v>
      </c>
      <c r="AQ724" s="187">
        <v>450</v>
      </c>
      <c r="AR724" s="124">
        <v>1200</v>
      </c>
      <c r="AS724" s="187"/>
      <c r="AT724" s="124"/>
      <c r="AV724"/>
      <c r="AX724" s="10"/>
      <c r="AY724" s="11"/>
      <c r="AZ724" s="2"/>
      <c r="BC724"/>
    </row>
    <row r="725" spans="1:55" hidden="1" x14ac:dyDescent="0.25">
      <c r="A725" s="12" t="str">
        <f ca="1">IF(F725+G725+H725+I725+J725+D725+E725=3,IF(Tabelle2[[#This Row],[Kappe Weiß]]=Limits!$R$29,1,""),"")</f>
        <v/>
      </c>
      <c r="B725" s="12" t="str">
        <f ca="1">IF(G725+H725+I725+J725+E725+F725=2,IF(Tabelle2[[#This Row],[Kappe Weiß]]=Limits!$R$29,1,""),"")</f>
        <v/>
      </c>
      <c r="C725" s="291">
        <v>0</v>
      </c>
      <c r="D725" s="171">
        <f>IF(Limits!$P$5=TRUE,1,0)</f>
        <v>0</v>
      </c>
      <c r="E725" s="172">
        <f>IF(Daten!$P725+Daten!$Q725+Daten!$S725=3,1,0)</f>
        <v>0</v>
      </c>
      <c r="F725" s="173">
        <f ca="1">IF(AND(Limits!$Q$21=TRUE,Daten!O725=1)=TRUE,1,0)</f>
        <v>0</v>
      </c>
      <c r="G725" s="174">
        <f>IF(AND(Limits!$Q$25=TRUE,Daten!N725=1)=TRUE,1,0)</f>
        <v>0</v>
      </c>
      <c r="H725" s="174">
        <f>IF(AND(Limits!$Q$24=TRUE,Daten!M725=1)=TRUE,1,0)</f>
        <v>0</v>
      </c>
      <c r="I725" s="174">
        <f>IF(AND(Limits!$Q$23=TRUE,Daten!L725=1)=TRUE,1,0)</f>
        <v>0</v>
      </c>
      <c r="J725" s="174">
        <f>IF(AND(Limits!$Q$22=TRUE,Daten!K725=1)=TRUE,1,0)</f>
        <v>0</v>
      </c>
      <c r="K725" s="188">
        <f>IF(Daten!$V725=13,1,0)</f>
        <v>1</v>
      </c>
      <c r="L725" s="189">
        <f>IF(Daten!$V725&lt;&gt;Daten!$W725,1,IF(Daten!$V725=14,1,0))</f>
        <v>1</v>
      </c>
      <c r="M725" s="189">
        <f>IF(Daten!$V725&lt;&gt;Daten!$W725,1,IF(Daten!$V725=16,1,0))</f>
        <v>1</v>
      </c>
      <c r="N725" s="189">
        <f>IF(Daten!$W725=17,1,0)</f>
        <v>1</v>
      </c>
      <c r="O725" s="190">
        <f ca="1">IF(Daten!$X725=Sprache!$A$70,1,0)</f>
        <v>0</v>
      </c>
      <c r="P725" s="191">
        <f>IF(AND(Daten!$AQ725&lt;=KINVARO!$AW$3,Daten!$AR725&gt;=KINVARO!$AW$3)=TRUE,1,0)</f>
        <v>1</v>
      </c>
      <c r="Q725" s="192">
        <f>IF(AND(Daten!$AA725&lt;=KINVARO!$AW$4,Daten!$AB725&gt;=KINVARO!$AW$4)=TRUE,1,0)</f>
        <v>0</v>
      </c>
      <c r="R725" s="192"/>
      <c r="S725" s="192">
        <f>IF(AND(Daten!$AD725&lt;=Limits!$I$70,Daten!$AE725&gt;=Limits!$I$70)=TRUE,1,0)</f>
        <v>1</v>
      </c>
      <c r="T725" s="193">
        <f ca="1">IF(Daten!$Y725=Sprache!$A$135,1,0)</f>
        <v>0</v>
      </c>
      <c r="U725" s="124" t="str">
        <f ca="1">Sprache!$A$69</f>
        <v>S-35 Откидной подъемник</v>
      </c>
      <c r="V725" s="194">
        <v>13</v>
      </c>
      <c r="W725" s="193">
        <v>17</v>
      </c>
      <c r="X725" s="187" t="str">
        <f ca="1">Sprache!$A$142</f>
        <v>Alu (Rahmen 19mm)</v>
      </c>
      <c r="Y725" s="187" t="str">
        <f ca="1">Sprache!$A$136</f>
        <v>nein</v>
      </c>
      <c r="Z725" s="187" t="str">
        <f ca="1">Sprache!$A$79</f>
        <v>Створка</v>
      </c>
      <c r="AA725" s="187">
        <v>660</v>
      </c>
      <c r="AB725" s="124">
        <v>689</v>
      </c>
      <c r="AC725" s="187"/>
      <c r="AD725" s="195">
        <v>4</v>
      </c>
      <c r="AE725" s="196">
        <v>10</v>
      </c>
      <c r="AF725" s="263" t="str">
        <f>MID(Tabelle2[[#This Row],[bnr full]],1,4)</f>
        <v>F152</v>
      </c>
      <c r="AG725" s="264" t="str">
        <f>MID(Tabelle2[[#This Row],[bnr full]],5,3)</f>
        <v>000</v>
      </c>
      <c r="AH725" s="265" t="str">
        <f>MID(Tabelle2[[#This Row],[bnr full]],8,3)</f>
        <v>257</v>
      </c>
      <c r="AI725" s="264" t="str">
        <f>MID(Tabelle2[[#This Row],[bnr full]],11,3)</f>
        <v>201</v>
      </c>
      <c r="AJ725" s="252" t="str">
        <f>MID(Tabelle2[[#This Row],[bnr full]],11,3)</f>
        <v>201</v>
      </c>
      <c r="AK725" s="197" t="s">
        <v>811</v>
      </c>
      <c r="AL725" s="124" t="str">
        <f ca="1">Sprache!$A$111</f>
        <v>Комплект (Л + П)</v>
      </c>
      <c r="AM725" s="187" t="s">
        <v>25</v>
      </c>
      <c r="AN725" s="187" t="str">
        <f ca="1">Sprache!$A$122</f>
        <v>Силовой механизм C</v>
      </c>
      <c r="AO725" s="187" t="str">
        <f ca="1">Sprache!$A$147</f>
        <v>Адаптер под алюминиевые рамки к комплекту Kinvaro S-35</v>
      </c>
      <c r="AP725" s="225" t="s">
        <v>814</v>
      </c>
      <c r="AQ725" s="187">
        <v>450</v>
      </c>
      <c r="AR725" s="124">
        <v>1200</v>
      </c>
      <c r="AS725" s="187"/>
      <c r="AT725" s="124"/>
      <c r="AV725"/>
      <c r="AX725" s="10"/>
      <c r="AY725" s="11"/>
      <c r="AZ725" s="2"/>
      <c r="BC725"/>
    </row>
    <row r="726" spans="1:55" hidden="1" x14ac:dyDescent="0.25">
      <c r="A726" s="12" t="str">
        <f ca="1">IF(F726+G726+H726+I726+J726+D726+E726=3,IF(Tabelle2[[#This Row],[Kappe Weiß]]=Limits!$R$29,1,""),"")</f>
        <v/>
      </c>
      <c r="B726" s="12" t="str">
        <f ca="1">IF(G726+H726+I726+J726+E726+F726=2,IF(Tabelle2[[#This Row],[Kappe Weiß]]=Limits!$R$29,1,""),"")</f>
        <v/>
      </c>
      <c r="C726" s="291">
        <v>0</v>
      </c>
      <c r="D726" s="171">
        <f>IF(Limits!$P$5=TRUE,1,0)</f>
        <v>0</v>
      </c>
      <c r="E726" s="172">
        <f>IF(Daten!$P726+Daten!$Q726+Daten!$S726=3,1,0)</f>
        <v>0</v>
      </c>
      <c r="F726" s="173">
        <f ca="1">IF(AND(Limits!$Q$21=TRUE,Daten!O726=1)=TRUE,1,0)</f>
        <v>0</v>
      </c>
      <c r="G726" s="174">
        <f>IF(AND(Limits!$Q$25=TRUE,Daten!N726=1)=TRUE,1,0)</f>
        <v>0</v>
      </c>
      <c r="H726" s="174">
        <f>IF(AND(Limits!$Q$24=TRUE,Daten!M726=1)=TRUE,1,0)</f>
        <v>0</v>
      </c>
      <c r="I726" s="174">
        <f>IF(AND(Limits!$Q$23=TRUE,Daten!L726=1)=TRUE,1,0)</f>
        <v>0</v>
      </c>
      <c r="J726" s="174">
        <f>IF(AND(Limits!$Q$22=TRUE,Daten!K726=1)=TRUE,1,0)</f>
        <v>0</v>
      </c>
      <c r="K726" s="188">
        <f>IF(Daten!$V726=13,1,0)</f>
        <v>1</v>
      </c>
      <c r="L726" s="189">
        <f>IF(Daten!$V726&lt;&gt;Daten!$W726,1,IF(Daten!$V726=14,1,0))</f>
        <v>1</v>
      </c>
      <c r="M726" s="189">
        <f>IF(Daten!$V726&lt;&gt;Daten!$W726,1,IF(Daten!$V726=16,1,0))</f>
        <v>1</v>
      </c>
      <c r="N726" s="189">
        <f>IF(Daten!$W726=17,1,0)</f>
        <v>1</v>
      </c>
      <c r="O726" s="190">
        <f ca="1">IF(Daten!$X726=Sprache!$A$70,1,0)</f>
        <v>0</v>
      </c>
      <c r="P726" s="191">
        <f>IF(AND(Daten!$AQ726&lt;=KINVARO!$AW$3,Daten!$AR726&gt;=KINVARO!$AW$3)=TRUE,1,0)</f>
        <v>1</v>
      </c>
      <c r="Q726" s="192">
        <f>IF(AND(Daten!$AA726&lt;=KINVARO!$AW$4,Daten!$AB726&gt;=KINVARO!$AW$4)=TRUE,1,0)</f>
        <v>0</v>
      </c>
      <c r="R726" s="192"/>
      <c r="S726" s="192">
        <f>IF(AND(Daten!$AD726&lt;=Limits!$I$70,Daten!$AE726&gt;=Limits!$I$70)=TRUE,1,0)</f>
        <v>1</v>
      </c>
      <c r="T726" s="193">
        <f ca="1">IF(Daten!$Y726=Sprache!$A$135,1,0)</f>
        <v>0</v>
      </c>
      <c r="U726" s="124" t="str">
        <f ca="1">Sprache!$A$69</f>
        <v>S-35 Откидной подъемник</v>
      </c>
      <c r="V726" s="194">
        <v>13</v>
      </c>
      <c r="W726" s="193">
        <v>17</v>
      </c>
      <c r="X726" s="187" t="str">
        <f ca="1">Sprache!$A$142</f>
        <v>Alu (Rahmen 19mm)</v>
      </c>
      <c r="Y726" s="187" t="str">
        <f ca="1">Sprache!$A$136</f>
        <v>nein</v>
      </c>
      <c r="Z726" s="187" t="str">
        <f ca="1">Sprache!$A$79</f>
        <v>Створка</v>
      </c>
      <c r="AA726" s="187">
        <v>660</v>
      </c>
      <c r="AB726" s="124">
        <v>689</v>
      </c>
      <c r="AC726" s="187"/>
      <c r="AD726" s="195">
        <v>7.5</v>
      </c>
      <c r="AE726" s="196">
        <v>15</v>
      </c>
      <c r="AF726" s="263" t="str">
        <f>MID(Tabelle2[[#This Row],[bnr full]],1,4)</f>
        <v>F152</v>
      </c>
      <c r="AG726" s="264" t="str">
        <f>MID(Tabelle2[[#This Row],[bnr full]],5,3)</f>
        <v>000</v>
      </c>
      <c r="AH726" s="265" t="str">
        <f>MID(Tabelle2[[#This Row],[bnr full]],8,3)</f>
        <v>258</v>
      </c>
      <c r="AI726" s="264" t="str">
        <f>MID(Tabelle2[[#This Row],[bnr full]],11,3)</f>
        <v>201</v>
      </c>
      <c r="AJ726" s="252" t="str">
        <f>MID(Tabelle2[[#This Row],[bnr full]],11,3)</f>
        <v>201</v>
      </c>
      <c r="AK726" s="197" t="s">
        <v>812</v>
      </c>
      <c r="AL726" s="124" t="str">
        <f ca="1">Sprache!$A$111</f>
        <v>Комплект (Л + П)</v>
      </c>
      <c r="AM726" s="187" t="s">
        <v>25</v>
      </c>
      <c r="AN726" s="187" t="str">
        <f ca="1">Sprache!$A$123</f>
        <v>Силовой механизм D</v>
      </c>
      <c r="AO726" s="187" t="str">
        <f ca="1">Sprache!$A$147</f>
        <v>Адаптер под алюминиевые рамки к комплекту Kinvaro S-35</v>
      </c>
      <c r="AP726" s="225" t="s">
        <v>814</v>
      </c>
      <c r="AQ726" s="187">
        <v>450</v>
      </c>
      <c r="AR726" s="124">
        <v>1200</v>
      </c>
      <c r="AS726" s="187"/>
      <c r="AT726" s="124"/>
      <c r="AV726"/>
      <c r="AX726" s="10"/>
      <c r="AY726" s="11"/>
      <c r="AZ726" s="2"/>
      <c r="BC726"/>
    </row>
    <row r="727" spans="1:55" hidden="1" x14ac:dyDescent="0.25">
      <c r="A727" s="12" t="str">
        <f ca="1">IF(F727+G727+H727+I727+J727+D727+E727=3,IF(Tabelle2[[#This Row],[Kappe Weiß]]=Limits!$R$29,1,""),"")</f>
        <v/>
      </c>
      <c r="B727" s="12" t="str">
        <f ca="1">IF(G727+H727+I727+J727+E727+F727=2,IF(Tabelle2[[#This Row],[Kappe Weiß]]=Limits!$R$29,1,""),"")</f>
        <v/>
      </c>
      <c r="C727" s="291">
        <v>0</v>
      </c>
      <c r="D727" s="171">
        <f>IF(Limits!$P$5=TRUE,1,0)</f>
        <v>0</v>
      </c>
      <c r="E727" s="172">
        <f>IF(Daten!$P727+Daten!$Q727+Daten!$S727=3,1,0)</f>
        <v>0</v>
      </c>
      <c r="F727" s="173">
        <f ca="1">IF(AND(Limits!$Q$21=TRUE,Daten!O727=1)=TRUE,1,0)</f>
        <v>0</v>
      </c>
      <c r="G727" s="174">
        <f>IF(AND(Limits!$Q$25=TRUE,Daten!N727=1)=TRUE,1,0)</f>
        <v>0</v>
      </c>
      <c r="H727" s="174">
        <f>IF(AND(Limits!$Q$24=TRUE,Daten!M727=1)=TRUE,1,0)</f>
        <v>0</v>
      </c>
      <c r="I727" s="174">
        <f>IF(AND(Limits!$Q$23=TRUE,Daten!L727=1)=TRUE,1,0)</f>
        <v>0</v>
      </c>
      <c r="J727" s="174">
        <f>IF(AND(Limits!$Q$22=TRUE,Daten!K727=1)=TRUE,1,0)</f>
        <v>0</v>
      </c>
      <c r="K727" s="188">
        <f>IF(Daten!$V727=13,1,0)</f>
        <v>1</v>
      </c>
      <c r="L727" s="189">
        <f>IF(Daten!$V727&lt;&gt;Daten!$W727,1,IF(Daten!$V727=14,1,0))</f>
        <v>1</v>
      </c>
      <c r="M727" s="189">
        <f>IF(Daten!$V727&lt;&gt;Daten!$W727,1,IF(Daten!$V727=16,1,0))</f>
        <v>1</v>
      </c>
      <c r="N727" s="189">
        <f>IF(Daten!$W727=17,1,0)</f>
        <v>1</v>
      </c>
      <c r="O727" s="190">
        <f ca="1">IF(Daten!$X727=Sprache!$A$70,1,0)</f>
        <v>0</v>
      </c>
      <c r="P727" s="191">
        <f>IF(AND(Daten!$AQ727&lt;=KINVARO!$AW$3,Daten!$AR727&gt;=KINVARO!$AW$3)=TRUE,1,0)</f>
        <v>1</v>
      </c>
      <c r="Q727" s="192">
        <f>IF(AND(Daten!$AA727&lt;=KINVARO!$AW$4,Daten!$AB727&gt;=KINVARO!$AW$4)=TRUE,1,0)</f>
        <v>0</v>
      </c>
      <c r="R727" s="192"/>
      <c r="S727" s="192">
        <f>IF(AND(Daten!$AD727&lt;=Limits!$I$70,Daten!$AE727&gt;=Limits!$I$70)=TRUE,1,0)</f>
        <v>0</v>
      </c>
      <c r="T727" s="193">
        <f ca="1">IF(Daten!$Y727=Sprache!$A$135,1,0)</f>
        <v>0</v>
      </c>
      <c r="U727" s="124" t="str">
        <f ca="1">Sprache!$A$69</f>
        <v>S-35 Откидной подъемник</v>
      </c>
      <c r="V727" s="194">
        <v>13</v>
      </c>
      <c r="W727" s="193">
        <v>17</v>
      </c>
      <c r="X727" s="187" t="str">
        <f ca="1">Sprache!$A$142</f>
        <v>Alu (Rahmen 19mm)</v>
      </c>
      <c r="Y727" s="187" t="str">
        <f ca="1">Sprache!$A$136</f>
        <v>nein</v>
      </c>
      <c r="Z727" s="187" t="str">
        <f ca="1">Sprache!$A$79</f>
        <v>Створка</v>
      </c>
      <c r="AA727" s="187">
        <v>660</v>
      </c>
      <c r="AB727" s="124">
        <v>689</v>
      </c>
      <c r="AC727" s="187"/>
      <c r="AD727" s="195">
        <v>12</v>
      </c>
      <c r="AE727" s="196">
        <v>16.5</v>
      </c>
      <c r="AF727" s="263" t="str">
        <f>MID(Tabelle2[[#This Row],[bnr full]],1,4)</f>
        <v>F152</v>
      </c>
      <c r="AG727" s="264" t="str">
        <f>MID(Tabelle2[[#This Row],[bnr full]],5,3)</f>
        <v>000</v>
      </c>
      <c r="AH727" s="265" t="str">
        <f>MID(Tabelle2[[#This Row],[bnr full]],8,3)</f>
        <v>259</v>
      </c>
      <c r="AI727" s="264" t="str">
        <f>MID(Tabelle2[[#This Row],[bnr full]],11,3)</f>
        <v>201</v>
      </c>
      <c r="AJ727" s="252" t="str">
        <f>MID(Tabelle2[[#This Row],[bnr full]],11,3)</f>
        <v>201</v>
      </c>
      <c r="AK727" s="197" t="s">
        <v>813</v>
      </c>
      <c r="AL727" s="124" t="str">
        <f ca="1">Sprache!$A$111</f>
        <v>Комплект (Л + П)</v>
      </c>
      <c r="AM727" s="187" t="s">
        <v>25</v>
      </c>
      <c r="AN727" s="187" t="str">
        <f ca="1">Sprache!$A$124</f>
        <v>Силовой механизм E</v>
      </c>
      <c r="AO727" s="187" t="str">
        <f ca="1">Sprache!$A$147</f>
        <v>Адаптер под алюминиевые рамки к комплекту Kinvaro S-35</v>
      </c>
      <c r="AP727" s="225" t="s">
        <v>814</v>
      </c>
      <c r="AQ727" s="187">
        <v>450</v>
      </c>
      <c r="AR727" s="124">
        <v>1200</v>
      </c>
      <c r="AS727" s="187"/>
      <c r="AT727" s="124"/>
      <c r="AV727"/>
      <c r="AX727" s="10"/>
      <c r="AY727" s="11"/>
      <c r="AZ727" s="2"/>
      <c r="BC727"/>
    </row>
    <row r="728" spans="1:55" hidden="1" x14ac:dyDescent="0.25">
      <c r="A728" s="12" t="str">
        <f ca="1">IF(F728+G728+H728+I728+J728+D728+E728=3,IF(Tabelle2[[#This Row],[Kappe Weiß]]=Limits!$R$29,1,""),"")</f>
        <v/>
      </c>
      <c r="B728" s="12" t="str">
        <f ca="1">IF(G728+H728+I728+J728+E728+F728=2,IF(Tabelle2[[#This Row],[Kappe Weiß]]=Limits!$R$29,1,""),"")</f>
        <v/>
      </c>
      <c r="C728" s="292">
        <v>0</v>
      </c>
      <c r="D728" s="171">
        <f>IF(Limits!$P$5=TRUE,1,0)</f>
        <v>0</v>
      </c>
      <c r="E728" s="172">
        <f>IF(Daten!$P728+Daten!$Q728+Daten!$S728=3,1,0)</f>
        <v>0</v>
      </c>
      <c r="F728" s="173">
        <f ca="1">IF(AND(Limits!$Q$21=TRUE,Daten!O728=1)=TRUE,1,0)</f>
        <v>1</v>
      </c>
      <c r="G728" s="174">
        <f ca="1">IF(AND(Limits!$Q$25=TRUE,Daten!N728=1)=TRUE,1,0)</f>
        <v>0</v>
      </c>
      <c r="H728" s="174">
        <f ca="1">IF(AND(Limits!$Q$24=TRUE,Daten!M728=1)=TRUE,1,0)</f>
        <v>0</v>
      </c>
      <c r="I728" s="174">
        <f ca="1">IF(AND(Limits!$Q$23=TRUE,Daten!L728=1)=TRUE,1,0)</f>
        <v>0</v>
      </c>
      <c r="J728" s="174">
        <f ca="1">IF(AND(Limits!$Q$22=TRUE,Daten!K728=1)=TRUE,1,0)</f>
        <v>0</v>
      </c>
      <c r="K728" s="188">
        <f ca="1">IF(Daten!$V728=13,1,0)</f>
        <v>0</v>
      </c>
      <c r="L728" s="189">
        <f ca="1">IF(Daten!$V728&lt;&gt;Daten!$W728,1,IF(Daten!$V728=14,1,0))</f>
        <v>0</v>
      </c>
      <c r="M728" s="189">
        <f ca="1">IF(Daten!$V728&lt;&gt;Daten!$W728,1,IF(Daten!$V728=16,1,0))</f>
        <v>0</v>
      </c>
      <c r="N728" s="189">
        <f ca="1">IF(Daten!$W728=17,1,0)</f>
        <v>0</v>
      </c>
      <c r="O728" s="190">
        <f ca="1">IF(Daten!$X728=Sprache!$A$70,1,0)</f>
        <v>1</v>
      </c>
      <c r="P728" s="198">
        <f>IF(AND(Daten!$AQ728&lt;=KINVARO!$AW$3,Daten!$AR728&gt;=KINVARO!$AW$3)=TRUE,1,0)</f>
        <v>1</v>
      </c>
      <c r="Q728" s="199">
        <f>IF(AND(Daten!$AA728&lt;=KINVARO!$AW$4,Daten!$AB728&gt;=KINVARO!$AW$4)=TRUE,1,0)</f>
        <v>0</v>
      </c>
      <c r="R728" s="199"/>
      <c r="S728" s="199">
        <f>IF(AND(Daten!$AD728&lt;=Limits!$I$70,Daten!$AE728&gt;=Limits!$I$70)=TRUE,1,0)</f>
        <v>0</v>
      </c>
      <c r="T728" s="200">
        <f ca="1">IF(Daten!$Y728=Sprache!$A$135,1,0)</f>
        <v>0</v>
      </c>
      <c r="U728" s="201" t="str">
        <f ca="1">Sprache!$A$69</f>
        <v>S-35 Откидной подъемник</v>
      </c>
      <c r="V728" s="202" t="str">
        <f ca="1">Sprache!$A$74</f>
        <v>var</v>
      </c>
      <c r="W728" s="200" t="str">
        <f ca="1">Sprache!$A$74</f>
        <v>var</v>
      </c>
      <c r="X728" s="203" t="str">
        <f ca="1">Sprache!$A$70</f>
        <v>соединение с древесиной</v>
      </c>
      <c r="Y728" s="187" t="str">
        <f ca="1">Sprache!$A$136</f>
        <v>nein</v>
      </c>
      <c r="Z728" s="203" t="str">
        <f ca="1">Sprache!$A$79</f>
        <v>Створка</v>
      </c>
      <c r="AA728" s="203">
        <v>690</v>
      </c>
      <c r="AB728" s="201">
        <v>719</v>
      </c>
      <c r="AC728" s="203"/>
      <c r="AD728" s="204">
        <v>2</v>
      </c>
      <c r="AE728" s="205">
        <v>5</v>
      </c>
      <c r="AF728" s="266" t="str">
        <f>MID(Tabelle2[[#This Row],[bnr full]],1,4)</f>
        <v>F152</v>
      </c>
      <c r="AG728" s="267" t="str">
        <f>MID(Tabelle2[[#This Row],[bnr full]],5,3)</f>
        <v>000</v>
      </c>
      <c r="AH728" s="268" t="str">
        <f>MID(Tabelle2[[#This Row],[bnr full]],8,3)</f>
        <v>255</v>
      </c>
      <c r="AI728" s="267" t="str">
        <f>MID(Tabelle2[[#This Row],[bnr full]],11,3)</f>
        <v>201</v>
      </c>
      <c r="AJ728" s="253" t="str">
        <f>MID(Tabelle2[[#This Row],[bnr full]],11,3)</f>
        <v>201</v>
      </c>
      <c r="AK728" s="206" t="s">
        <v>809</v>
      </c>
      <c r="AL728" s="201" t="str">
        <f ca="1">Sprache!$A$111</f>
        <v>Комплект (Л + П)</v>
      </c>
      <c r="AM728" s="203" t="s">
        <v>25</v>
      </c>
      <c r="AN728" s="203" t="str">
        <f ca="1">Sprache!$A$120</f>
        <v>Силовой механизм A</v>
      </c>
      <c r="AO728" s="203" t="s">
        <v>25</v>
      </c>
      <c r="AP728" s="203" t="s">
        <v>25</v>
      </c>
      <c r="AQ728" s="203">
        <v>450</v>
      </c>
      <c r="AR728" s="201">
        <v>1200</v>
      </c>
      <c r="AS728" s="187"/>
      <c r="AT728" s="124"/>
      <c r="AV728"/>
      <c r="AX728" s="10"/>
      <c r="AY728" s="11"/>
      <c r="AZ728" s="2"/>
      <c r="BC728"/>
    </row>
    <row r="729" spans="1:55" hidden="1" x14ac:dyDescent="0.25">
      <c r="A729" s="12" t="str">
        <f ca="1">IF(F729+G729+H729+I729+J729+D729+E729=3,IF(Tabelle2[[#This Row],[Kappe Weiß]]=Limits!$R$29,1,""),"")</f>
        <v/>
      </c>
      <c r="B729" s="12" t="str">
        <f ca="1">IF(G729+H729+I729+J729+E729+F729=2,IF(Tabelle2[[#This Row],[Kappe Weiß]]=Limits!$R$29,1,""),"")</f>
        <v/>
      </c>
      <c r="C729" s="291">
        <v>0</v>
      </c>
      <c r="D729" s="171">
        <f>IF(Limits!$P$5=TRUE,1,0)</f>
        <v>0</v>
      </c>
      <c r="E729" s="172">
        <f>IF(Daten!$P729+Daten!$Q729+Daten!$S729=3,1,0)</f>
        <v>0</v>
      </c>
      <c r="F729" s="173">
        <f ca="1">IF(AND(Limits!$Q$21=TRUE,Daten!O729=1)=TRUE,1,0)</f>
        <v>1</v>
      </c>
      <c r="G729" s="174">
        <f ca="1">IF(AND(Limits!$Q$25=TRUE,Daten!N729=1)=TRUE,1,0)</f>
        <v>0</v>
      </c>
      <c r="H729" s="174">
        <f ca="1">IF(AND(Limits!$Q$24=TRUE,Daten!M729=1)=TRUE,1,0)</f>
        <v>0</v>
      </c>
      <c r="I729" s="174">
        <f ca="1">IF(AND(Limits!$Q$23=TRUE,Daten!L729=1)=TRUE,1,0)</f>
        <v>0</v>
      </c>
      <c r="J729" s="174">
        <f ca="1">IF(AND(Limits!$Q$22=TRUE,Daten!K729=1)=TRUE,1,0)</f>
        <v>0</v>
      </c>
      <c r="K729" s="188">
        <f ca="1">IF(Daten!$V729=13,1,0)</f>
        <v>0</v>
      </c>
      <c r="L729" s="189">
        <f ca="1">IF(Daten!$V729&lt;&gt;Daten!$W729,1,IF(Daten!$V729=14,1,0))</f>
        <v>0</v>
      </c>
      <c r="M729" s="189">
        <f ca="1">IF(Daten!$V729&lt;&gt;Daten!$W729,1,IF(Daten!$V729=16,1,0))</f>
        <v>0</v>
      </c>
      <c r="N729" s="189">
        <f ca="1">IF(Daten!$W729=17,1,0)</f>
        <v>0</v>
      </c>
      <c r="O729" s="190">
        <f ca="1">IF(Daten!$X729=Sprache!$A$70,1,0)</f>
        <v>1</v>
      </c>
      <c r="P729" s="191">
        <f>IF(AND(Daten!$AQ729&lt;=KINVARO!$AW$3,Daten!$AR729&gt;=KINVARO!$AW$3)=TRUE,1,0)</f>
        <v>1</v>
      </c>
      <c r="Q729" s="192">
        <f>IF(AND(Daten!$AA729&lt;=KINVARO!$AW$4,Daten!$AB729&gt;=KINVARO!$AW$4)=TRUE,1,0)</f>
        <v>0</v>
      </c>
      <c r="R729" s="192"/>
      <c r="S729" s="192">
        <f>IF(AND(Daten!$AD729&lt;=Limits!$I$70,Daten!$AE729&gt;=Limits!$I$70)=TRUE,1,0)</f>
        <v>0</v>
      </c>
      <c r="T729" s="193">
        <f ca="1">IF(Daten!$Y729=Sprache!$A$135,1,0)</f>
        <v>0</v>
      </c>
      <c r="U729" s="124" t="str">
        <f ca="1">Sprache!$A$69</f>
        <v>S-35 Откидной подъемник</v>
      </c>
      <c r="V729" s="194" t="str">
        <f ca="1">Sprache!$A$74</f>
        <v>var</v>
      </c>
      <c r="W729" s="193" t="str">
        <f ca="1">Sprache!$A$74</f>
        <v>var</v>
      </c>
      <c r="X729" s="187" t="str">
        <f ca="1">Sprache!$A$70</f>
        <v>соединение с древесиной</v>
      </c>
      <c r="Y729" s="187" t="str">
        <f ca="1">Sprache!$A$136</f>
        <v>nein</v>
      </c>
      <c r="Z729" s="187" t="str">
        <f ca="1">Sprache!$A$79</f>
        <v>Створка</v>
      </c>
      <c r="AA729" s="187">
        <v>690</v>
      </c>
      <c r="AB729" s="124">
        <v>719</v>
      </c>
      <c r="AC729" s="187"/>
      <c r="AD729" s="195">
        <v>4</v>
      </c>
      <c r="AE729" s="196">
        <v>8.5</v>
      </c>
      <c r="AF729" s="263" t="str">
        <f>MID(Tabelle2[[#This Row],[bnr full]],1,4)</f>
        <v>F152</v>
      </c>
      <c r="AG729" s="264" t="str">
        <f>MID(Tabelle2[[#This Row],[bnr full]],5,3)</f>
        <v>000</v>
      </c>
      <c r="AH729" s="265" t="str">
        <f>MID(Tabelle2[[#This Row],[bnr full]],8,3)</f>
        <v>257</v>
      </c>
      <c r="AI729" s="264" t="str">
        <f>MID(Tabelle2[[#This Row],[bnr full]],11,3)</f>
        <v>201</v>
      </c>
      <c r="AJ729" s="252" t="str">
        <f>MID(Tabelle2[[#This Row],[bnr full]],11,3)</f>
        <v>201</v>
      </c>
      <c r="AK729" s="197" t="s">
        <v>811</v>
      </c>
      <c r="AL729" s="124" t="str">
        <f ca="1">Sprache!$A$111</f>
        <v>Комплект (Л + П)</v>
      </c>
      <c r="AM729" s="187" t="s">
        <v>25</v>
      </c>
      <c r="AN729" s="187" t="str">
        <f ca="1">Sprache!$A$122</f>
        <v>Силовой механизм C</v>
      </c>
      <c r="AO729" s="187" t="s">
        <v>25</v>
      </c>
      <c r="AP729" s="187" t="s">
        <v>25</v>
      </c>
      <c r="AQ729" s="187">
        <v>450</v>
      </c>
      <c r="AR729" s="124">
        <v>1200</v>
      </c>
      <c r="AS729" s="187"/>
      <c r="AT729" s="124"/>
      <c r="AV729"/>
      <c r="AX729" s="10"/>
      <c r="AY729" s="11"/>
      <c r="AZ729" s="2"/>
      <c r="BC729"/>
    </row>
    <row r="730" spans="1:55" hidden="1" x14ac:dyDescent="0.25">
      <c r="A730" s="12" t="str">
        <f ca="1">IF(F730+G730+H730+I730+J730+D730+E730=3,IF(Tabelle2[[#This Row],[Kappe Weiß]]=Limits!$R$29,1,""),"")</f>
        <v/>
      </c>
      <c r="B730" s="12" t="str">
        <f ca="1">IF(G730+H730+I730+J730+E730+F730=2,IF(Tabelle2[[#This Row],[Kappe Weiß]]=Limits!$R$29,1,""),"")</f>
        <v/>
      </c>
      <c r="C730" s="291">
        <v>0</v>
      </c>
      <c r="D730" s="171">
        <f>IF(Limits!$P$5=TRUE,1,0)</f>
        <v>0</v>
      </c>
      <c r="E730" s="172">
        <f>IF(Daten!$P730+Daten!$Q730+Daten!$S730=3,1,0)</f>
        <v>0</v>
      </c>
      <c r="F730" s="173">
        <f ca="1">IF(AND(Limits!$Q$21=TRUE,Daten!O730=1)=TRUE,1,0)</f>
        <v>1</v>
      </c>
      <c r="G730" s="174">
        <f ca="1">IF(AND(Limits!$Q$25=TRUE,Daten!N730=1)=TRUE,1,0)</f>
        <v>0</v>
      </c>
      <c r="H730" s="174">
        <f ca="1">IF(AND(Limits!$Q$24=TRUE,Daten!M730=1)=TRUE,1,0)</f>
        <v>0</v>
      </c>
      <c r="I730" s="174">
        <f ca="1">IF(AND(Limits!$Q$23=TRUE,Daten!L730=1)=TRUE,1,0)</f>
        <v>0</v>
      </c>
      <c r="J730" s="174">
        <f ca="1">IF(AND(Limits!$Q$22=TRUE,Daten!K730=1)=TRUE,1,0)</f>
        <v>0</v>
      </c>
      <c r="K730" s="188">
        <f ca="1">IF(Daten!$V730=13,1,0)</f>
        <v>0</v>
      </c>
      <c r="L730" s="189">
        <f ca="1">IF(Daten!$V730&lt;&gt;Daten!$W730,1,IF(Daten!$V730=14,1,0))</f>
        <v>0</v>
      </c>
      <c r="M730" s="189">
        <f ca="1">IF(Daten!$V730&lt;&gt;Daten!$W730,1,IF(Daten!$V730=16,1,0))</f>
        <v>0</v>
      </c>
      <c r="N730" s="189">
        <f ca="1">IF(Daten!$W730=17,1,0)</f>
        <v>0</v>
      </c>
      <c r="O730" s="190">
        <f ca="1">IF(Daten!$X730=Sprache!$A$70,1,0)</f>
        <v>1</v>
      </c>
      <c r="P730" s="191">
        <f>IF(AND(Daten!$AQ730&lt;=KINVARO!$AW$3,Daten!$AR730&gt;=KINVARO!$AW$3)=TRUE,1,0)</f>
        <v>1</v>
      </c>
      <c r="Q730" s="192">
        <f>IF(AND(Daten!$AA730&lt;=KINVARO!$AW$4,Daten!$AB730&gt;=KINVARO!$AW$4)=TRUE,1,0)</f>
        <v>0</v>
      </c>
      <c r="R730" s="192"/>
      <c r="S730" s="192">
        <f>IF(AND(Daten!$AD730&lt;=Limits!$I$70,Daten!$AE730&gt;=Limits!$I$70)=TRUE,1,0)</f>
        <v>1</v>
      </c>
      <c r="T730" s="193">
        <f ca="1">IF(Daten!$Y730=Sprache!$A$135,1,0)</f>
        <v>0</v>
      </c>
      <c r="U730" s="124" t="str">
        <f ca="1">Sprache!$A$69</f>
        <v>S-35 Откидной подъемник</v>
      </c>
      <c r="V730" s="194" t="str">
        <f ca="1">Sprache!$A$74</f>
        <v>var</v>
      </c>
      <c r="W730" s="193" t="str">
        <f ca="1">Sprache!$A$74</f>
        <v>var</v>
      </c>
      <c r="X730" s="187" t="str">
        <f ca="1">Sprache!$A$70</f>
        <v>соединение с древесиной</v>
      </c>
      <c r="Y730" s="187" t="str">
        <f ca="1">Sprache!$A$136</f>
        <v>nein</v>
      </c>
      <c r="Z730" s="187" t="str">
        <f ca="1">Sprache!$A$79</f>
        <v>Створка</v>
      </c>
      <c r="AA730" s="187">
        <v>690</v>
      </c>
      <c r="AB730" s="124">
        <v>719</v>
      </c>
      <c r="AC730" s="187"/>
      <c r="AD730" s="195">
        <v>6.5</v>
      </c>
      <c r="AE730" s="196">
        <v>13.5</v>
      </c>
      <c r="AF730" s="263" t="str">
        <f>MID(Tabelle2[[#This Row],[bnr full]],1,4)</f>
        <v>F152</v>
      </c>
      <c r="AG730" s="264" t="str">
        <f>MID(Tabelle2[[#This Row],[bnr full]],5,3)</f>
        <v>000</v>
      </c>
      <c r="AH730" s="265" t="str">
        <f>MID(Tabelle2[[#This Row],[bnr full]],8,3)</f>
        <v>258</v>
      </c>
      <c r="AI730" s="264" t="str">
        <f>MID(Tabelle2[[#This Row],[bnr full]],11,3)</f>
        <v>201</v>
      </c>
      <c r="AJ730" s="252" t="str">
        <f>MID(Tabelle2[[#This Row],[bnr full]],11,3)</f>
        <v>201</v>
      </c>
      <c r="AK730" s="197" t="s">
        <v>812</v>
      </c>
      <c r="AL730" s="124" t="str">
        <f ca="1">Sprache!$A$111</f>
        <v>Комплект (Л + П)</v>
      </c>
      <c r="AM730" s="187" t="s">
        <v>25</v>
      </c>
      <c r="AN730" s="187" t="str">
        <f ca="1">Sprache!$A$123</f>
        <v>Силовой механизм D</v>
      </c>
      <c r="AO730" s="187" t="s">
        <v>25</v>
      </c>
      <c r="AP730" s="187" t="s">
        <v>25</v>
      </c>
      <c r="AQ730" s="187">
        <v>450</v>
      </c>
      <c r="AR730" s="124">
        <v>1200</v>
      </c>
      <c r="AS730" s="187"/>
      <c r="AT730" s="124"/>
      <c r="AV730"/>
      <c r="AX730" s="10"/>
      <c r="AY730" s="11"/>
      <c r="AZ730" s="2"/>
      <c r="BC730"/>
    </row>
    <row r="731" spans="1:55" hidden="1" x14ac:dyDescent="0.25">
      <c r="A731" s="12" t="str">
        <f ca="1">IF(F731+G731+H731+I731+J731+D731+E731=3,IF(Tabelle2[[#This Row],[Kappe Weiß]]=Limits!$R$29,1,""),"")</f>
        <v/>
      </c>
      <c r="B731" s="12" t="str">
        <f ca="1">IF(G731+H731+I731+J731+E731+F731=2,IF(Tabelle2[[#This Row],[Kappe Weiß]]=Limits!$R$29,1,""),"")</f>
        <v/>
      </c>
      <c r="C731" s="291">
        <v>0</v>
      </c>
      <c r="D731" s="171">
        <f>IF(Limits!$P$5=TRUE,1,0)</f>
        <v>0</v>
      </c>
      <c r="E731" s="172">
        <f>IF(Daten!$P731+Daten!$Q731+Daten!$S731=3,1,0)</f>
        <v>0</v>
      </c>
      <c r="F731" s="173">
        <f ca="1">IF(AND(Limits!$Q$21=TRUE,Daten!O731=1)=TRUE,1,0)</f>
        <v>1</v>
      </c>
      <c r="G731" s="174">
        <f ca="1">IF(AND(Limits!$Q$25=TRUE,Daten!N731=1)=TRUE,1,0)</f>
        <v>0</v>
      </c>
      <c r="H731" s="174">
        <f ca="1">IF(AND(Limits!$Q$24=TRUE,Daten!M731=1)=TRUE,1,0)</f>
        <v>0</v>
      </c>
      <c r="I731" s="174">
        <f ca="1">IF(AND(Limits!$Q$23=TRUE,Daten!L731=1)=TRUE,1,0)</f>
        <v>0</v>
      </c>
      <c r="J731" s="174">
        <f ca="1">IF(AND(Limits!$Q$22=TRUE,Daten!K731=1)=TRUE,1,0)</f>
        <v>0</v>
      </c>
      <c r="K731" s="188">
        <f ca="1">IF(Daten!$V731=13,1,0)</f>
        <v>0</v>
      </c>
      <c r="L731" s="189">
        <f ca="1">IF(Daten!$V731&lt;&gt;Daten!$W731,1,IF(Daten!$V731=14,1,0))</f>
        <v>0</v>
      </c>
      <c r="M731" s="189">
        <f ca="1">IF(Daten!$V731&lt;&gt;Daten!$W731,1,IF(Daten!$V731=16,1,0))</f>
        <v>0</v>
      </c>
      <c r="N731" s="189">
        <f ca="1">IF(Daten!$W731=17,1,0)</f>
        <v>0</v>
      </c>
      <c r="O731" s="190">
        <f ca="1">IF(Daten!$X731=Sprache!$A$70,1,0)</f>
        <v>1</v>
      </c>
      <c r="P731" s="191">
        <f>IF(AND(Daten!$AQ731&lt;=KINVARO!$AW$3,Daten!$AR731&gt;=KINVARO!$AW$3)=TRUE,1,0)</f>
        <v>1</v>
      </c>
      <c r="Q731" s="192">
        <f>IF(AND(Daten!$AA731&lt;=KINVARO!$AW$4,Daten!$AB731&gt;=KINVARO!$AW$4)=TRUE,1,0)</f>
        <v>0</v>
      </c>
      <c r="R731" s="192"/>
      <c r="S731" s="192">
        <f>IF(AND(Daten!$AD731&lt;=Limits!$I$70,Daten!$AE731&gt;=Limits!$I$70)=TRUE,1,0)</f>
        <v>0</v>
      </c>
      <c r="T731" s="193">
        <f ca="1">IF(Daten!$Y731=Sprache!$A$135,1,0)</f>
        <v>0</v>
      </c>
      <c r="U731" s="124" t="str">
        <f ca="1">Sprache!$A$69</f>
        <v>S-35 Откидной подъемник</v>
      </c>
      <c r="V731" s="194" t="str">
        <f ca="1">Sprache!$A$74</f>
        <v>var</v>
      </c>
      <c r="W731" s="193" t="str">
        <f ca="1">Sprache!$A$74</f>
        <v>var</v>
      </c>
      <c r="X731" s="187" t="str">
        <f ca="1">Sprache!$A$70</f>
        <v>соединение с древесиной</v>
      </c>
      <c r="Y731" s="187" t="str">
        <f ca="1">Sprache!$A$136</f>
        <v>nein</v>
      </c>
      <c r="Z731" s="187" t="str">
        <f ca="1">Sprache!$A$79</f>
        <v>Створка</v>
      </c>
      <c r="AA731" s="187">
        <v>690</v>
      </c>
      <c r="AB731" s="124">
        <v>719</v>
      </c>
      <c r="AC731" s="187"/>
      <c r="AD731" s="195">
        <v>12</v>
      </c>
      <c r="AE731" s="196">
        <v>17.5</v>
      </c>
      <c r="AF731" s="263" t="str">
        <f>MID(Tabelle2[[#This Row],[bnr full]],1,4)</f>
        <v>F152</v>
      </c>
      <c r="AG731" s="264" t="str">
        <f>MID(Tabelle2[[#This Row],[bnr full]],5,3)</f>
        <v>000</v>
      </c>
      <c r="AH731" s="265" t="str">
        <f>MID(Tabelle2[[#This Row],[bnr full]],8,3)</f>
        <v>259</v>
      </c>
      <c r="AI731" s="264" t="str">
        <f>MID(Tabelle2[[#This Row],[bnr full]],11,3)</f>
        <v>201</v>
      </c>
      <c r="AJ731" s="252" t="str">
        <f>MID(Tabelle2[[#This Row],[bnr full]],11,3)</f>
        <v>201</v>
      </c>
      <c r="AK731" s="197" t="s">
        <v>813</v>
      </c>
      <c r="AL731" s="124" t="str">
        <f ca="1">Sprache!$A$111</f>
        <v>Комплект (Л + П)</v>
      </c>
      <c r="AM731" s="187" t="s">
        <v>25</v>
      </c>
      <c r="AN731" s="187" t="str">
        <f ca="1">Sprache!$A$124</f>
        <v>Силовой механизм E</v>
      </c>
      <c r="AO731" s="187" t="s">
        <v>25</v>
      </c>
      <c r="AP731" s="187" t="s">
        <v>25</v>
      </c>
      <c r="AQ731" s="187">
        <v>450</v>
      </c>
      <c r="AR731" s="124">
        <v>1200</v>
      </c>
      <c r="AS731" s="187"/>
      <c r="AT731" s="124"/>
      <c r="AV731"/>
      <c r="AX731" s="10"/>
      <c r="AY731" s="11"/>
      <c r="AZ731" s="2"/>
      <c r="BC731"/>
    </row>
    <row r="732" spans="1:55" hidden="1" x14ac:dyDescent="0.25">
      <c r="A732" s="12" t="str">
        <f ca="1">IF(F732+G732+H732+I732+J732+D732+E732=3,IF(Tabelle2[[#This Row],[Kappe Weiß]]=Limits!$R$29,1,""),"")</f>
        <v/>
      </c>
      <c r="B732" s="12" t="str">
        <f ca="1">IF(G732+H732+I732+J732+E732+F732=2,IF(Tabelle2[[#This Row],[Kappe Weiß]]=Limits!$R$29,1,""),"")</f>
        <v/>
      </c>
      <c r="C732" s="291">
        <v>0</v>
      </c>
      <c r="D732" s="171">
        <f>IF(Limits!$P$5=TRUE,1,0)</f>
        <v>0</v>
      </c>
      <c r="E732" s="172">
        <f>IF(Daten!$P732+Daten!$Q732+Daten!$S732=3,1,0)</f>
        <v>0</v>
      </c>
      <c r="F732" s="173">
        <f ca="1">IF(AND(Limits!$Q$21=TRUE,Daten!O732=1)=TRUE,1,0)</f>
        <v>0</v>
      </c>
      <c r="G732" s="174">
        <f>IF(AND(Limits!$Q$25=TRUE,Daten!N732=1)=TRUE,1,0)</f>
        <v>0</v>
      </c>
      <c r="H732" s="174">
        <f>IF(AND(Limits!$Q$24=TRUE,Daten!M732=1)=TRUE,1,0)</f>
        <v>0</v>
      </c>
      <c r="I732" s="174">
        <f>IF(AND(Limits!$Q$23=TRUE,Daten!L732=1)=TRUE,1,0)</f>
        <v>0</v>
      </c>
      <c r="J732" s="174">
        <f>IF(AND(Limits!$Q$22=TRUE,Daten!K732=1)=TRUE,1,0)</f>
        <v>0</v>
      </c>
      <c r="K732" s="188">
        <f>IF(Daten!$V732=13,1,0)</f>
        <v>1</v>
      </c>
      <c r="L732" s="189">
        <f>IF(Daten!$V732&lt;&gt;Daten!$W732,1,IF(Daten!$V732=14,1,0))</f>
        <v>1</v>
      </c>
      <c r="M732" s="189">
        <f>IF(Daten!$V732&lt;&gt;Daten!$W732,1,IF(Daten!$V732=16,1,0))</f>
        <v>1</v>
      </c>
      <c r="N732" s="189">
        <f>IF(Daten!$W732=17,1,0)</f>
        <v>1</v>
      </c>
      <c r="O732" s="190">
        <f ca="1">IF(Daten!$X732=Sprache!$A$70,1,0)</f>
        <v>0</v>
      </c>
      <c r="P732" s="191">
        <f>IF(AND(Daten!$AQ732&lt;=KINVARO!$AW$3,Daten!$AR732&gt;=KINVARO!$AW$3)=TRUE,1,0)</f>
        <v>1</v>
      </c>
      <c r="Q732" s="192">
        <f>IF(AND(Daten!$AA732&lt;=KINVARO!$AW$4,Daten!$AB732&gt;=KINVARO!$AW$4)=TRUE,1,0)</f>
        <v>0</v>
      </c>
      <c r="R732" s="192"/>
      <c r="S732" s="192">
        <f>IF(AND(Daten!$AD732&lt;=Limits!$I$70,Daten!$AE732&gt;=Limits!$I$70)=TRUE,1,0)</f>
        <v>0</v>
      </c>
      <c r="T732" s="193">
        <f ca="1">IF(Daten!$Y732=Sprache!$A$135,1,0)</f>
        <v>0</v>
      </c>
      <c r="U732" s="124" t="str">
        <f ca="1">Sprache!$A$69</f>
        <v>S-35 Откидной подъемник</v>
      </c>
      <c r="V732" s="194">
        <v>13</v>
      </c>
      <c r="W732" s="193">
        <v>17</v>
      </c>
      <c r="X732" s="187" t="str">
        <f ca="1">Sprache!$A$142</f>
        <v>Alu (Rahmen 19mm)</v>
      </c>
      <c r="Y732" s="187" t="str">
        <f ca="1">Sprache!$A$136</f>
        <v>nein</v>
      </c>
      <c r="Z732" s="187" t="str">
        <f ca="1">Sprache!$A$79</f>
        <v>Створка</v>
      </c>
      <c r="AA732" s="187">
        <v>690</v>
      </c>
      <c r="AB732" s="124">
        <v>719</v>
      </c>
      <c r="AC732" s="187"/>
      <c r="AD732" s="195">
        <v>2</v>
      </c>
      <c r="AE732" s="196">
        <v>5</v>
      </c>
      <c r="AF732" s="263" t="str">
        <f>MID(Tabelle2[[#This Row],[bnr full]],1,4)</f>
        <v>F152</v>
      </c>
      <c r="AG732" s="264" t="str">
        <f>MID(Tabelle2[[#This Row],[bnr full]],5,3)</f>
        <v>000</v>
      </c>
      <c r="AH732" s="265" t="str">
        <f>MID(Tabelle2[[#This Row],[bnr full]],8,3)</f>
        <v>255</v>
      </c>
      <c r="AI732" s="264" t="str">
        <f>MID(Tabelle2[[#This Row],[bnr full]],11,3)</f>
        <v>201</v>
      </c>
      <c r="AJ732" s="252" t="str">
        <f>MID(Tabelle2[[#This Row],[bnr full]],11,3)</f>
        <v>201</v>
      </c>
      <c r="AK732" s="197" t="s">
        <v>809</v>
      </c>
      <c r="AL732" s="124" t="str">
        <f ca="1">Sprache!$A$111</f>
        <v>Комплект (Л + П)</v>
      </c>
      <c r="AM732" s="187" t="s">
        <v>25</v>
      </c>
      <c r="AN732" s="187" t="str">
        <f ca="1">Sprache!$A$120</f>
        <v>Силовой механизм A</v>
      </c>
      <c r="AO732" s="187" t="str">
        <f ca="1">Sprache!$A$147</f>
        <v>Адаптер под алюминиевые рамки к комплекту Kinvaro S-35</v>
      </c>
      <c r="AP732" s="225" t="s">
        <v>814</v>
      </c>
      <c r="AQ732" s="187">
        <v>450</v>
      </c>
      <c r="AR732" s="124">
        <v>1200</v>
      </c>
      <c r="AS732" s="187"/>
      <c r="AT732" s="124"/>
      <c r="AV732"/>
      <c r="AX732" s="10"/>
      <c r="AY732" s="11"/>
      <c r="AZ732" s="2"/>
      <c r="BC732"/>
    </row>
    <row r="733" spans="1:55" hidden="1" x14ac:dyDescent="0.25">
      <c r="A733" s="12" t="str">
        <f ca="1">IF(F733+G733+H733+I733+J733+D733+E733=3,IF(Tabelle2[[#This Row],[Kappe Weiß]]=Limits!$R$29,1,""),"")</f>
        <v/>
      </c>
      <c r="B733" s="12" t="str">
        <f ca="1">IF(G733+H733+I733+J733+E733+F733=2,IF(Tabelle2[[#This Row],[Kappe Weiß]]=Limits!$R$29,1,""),"")</f>
        <v/>
      </c>
      <c r="C733" s="291">
        <v>0</v>
      </c>
      <c r="D733" s="171">
        <f>IF(Limits!$P$5=TRUE,1,0)</f>
        <v>0</v>
      </c>
      <c r="E733" s="172">
        <f>IF(Daten!$P733+Daten!$Q733+Daten!$S733=3,1,0)</f>
        <v>0</v>
      </c>
      <c r="F733" s="173">
        <f ca="1">IF(AND(Limits!$Q$21=TRUE,Daten!O733=1)=TRUE,1,0)</f>
        <v>0</v>
      </c>
      <c r="G733" s="174">
        <f>IF(AND(Limits!$Q$25=TRUE,Daten!N733=1)=TRUE,1,0)</f>
        <v>0</v>
      </c>
      <c r="H733" s="174">
        <f>IF(AND(Limits!$Q$24=TRUE,Daten!M733=1)=TRUE,1,0)</f>
        <v>0</v>
      </c>
      <c r="I733" s="174">
        <f>IF(AND(Limits!$Q$23=TRUE,Daten!L733=1)=TRUE,1,0)</f>
        <v>0</v>
      </c>
      <c r="J733" s="174">
        <f>IF(AND(Limits!$Q$22=TRUE,Daten!K733=1)=TRUE,1,0)</f>
        <v>0</v>
      </c>
      <c r="K733" s="188">
        <f>IF(Daten!$V733=13,1,0)</f>
        <v>1</v>
      </c>
      <c r="L733" s="189">
        <f>IF(Daten!$V733&lt;&gt;Daten!$W733,1,IF(Daten!$V733=14,1,0))</f>
        <v>1</v>
      </c>
      <c r="M733" s="189">
        <f>IF(Daten!$V733&lt;&gt;Daten!$W733,1,IF(Daten!$V733=16,1,0))</f>
        <v>1</v>
      </c>
      <c r="N733" s="189">
        <f>IF(Daten!$W733=17,1,0)</f>
        <v>1</v>
      </c>
      <c r="O733" s="190">
        <f ca="1">IF(Daten!$X733=Sprache!$A$70,1,0)</f>
        <v>0</v>
      </c>
      <c r="P733" s="191">
        <f>IF(AND(Daten!$AQ733&lt;=KINVARO!$AW$3,Daten!$AR733&gt;=KINVARO!$AW$3)=TRUE,1,0)</f>
        <v>1</v>
      </c>
      <c r="Q733" s="192">
        <f>IF(AND(Daten!$AA733&lt;=KINVARO!$AW$4,Daten!$AB733&gt;=KINVARO!$AW$4)=TRUE,1,0)</f>
        <v>0</v>
      </c>
      <c r="R733" s="192"/>
      <c r="S733" s="192">
        <f>IF(AND(Daten!$AD733&lt;=Limits!$I$70,Daten!$AE733&gt;=Limits!$I$70)=TRUE,1,0)</f>
        <v>0</v>
      </c>
      <c r="T733" s="193">
        <f ca="1">IF(Daten!$Y733=Sprache!$A$135,1,0)</f>
        <v>0</v>
      </c>
      <c r="U733" s="124" t="str">
        <f ca="1">Sprache!$A$69</f>
        <v>S-35 Откидной подъемник</v>
      </c>
      <c r="V733" s="194">
        <v>13</v>
      </c>
      <c r="W733" s="193">
        <v>17</v>
      </c>
      <c r="X733" s="187" t="str">
        <f ca="1">Sprache!$A$142</f>
        <v>Alu (Rahmen 19mm)</v>
      </c>
      <c r="Y733" s="187" t="str">
        <f ca="1">Sprache!$A$136</f>
        <v>nein</v>
      </c>
      <c r="Z733" s="187" t="str">
        <f ca="1">Sprache!$A$79</f>
        <v>Створка</v>
      </c>
      <c r="AA733" s="187">
        <v>690</v>
      </c>
      <c r="AB733" s="124">
        <v>719</v>
      </c>
      <c r="AC733" s="187"/>
      <c r="AD733" s="195">
        <v>4</v>
      </c>
      <c r="AE733" s="196">
        <v>8.5</v>
      </c>
      <c r="AF733" s="263" t="str">
        <f>MID(Tabelle2[[#This Row],[bnr full]],1,4)</f>
        <v>F152</v>
      </c>
      <c r="AG733" s="264" t="str">
        <f>MID(Tabelle2[[#This Row],[bnr full]],5,3)</f>
        <v>000</v>
      </c>
      <c r="AH733" s="265" t="str">
        <f>MID(Tabelle2[[#This Row],[bnr full]],8,3)</f>
        <v>257</v>
      </c>
      <c r="AI733" s="264" t="str">
        <f>MID(Tabelle2[[#This Row],[bnr full]],11,3)</f>
        <v>201</v>
      </c>
      <c r="AJ733" s="252" t="str">
        <f>MID(Tabelle2[[#This Row],[bnr full]],11,3)</f>
        <v>201</v>
      </c>
      <c r="AK733" s="197" t="s">
        <v>811</v>
      </c>
      <c r="AL733" s="124" t="str">
        <f ca="1">Sprache!$A$111</f>
        <v>Комплект (Л + П)</v>
      </c>
      <c r="AM733" s="187" t="s">
        <v>25</v>
      </c>
      <c r="AN733" s="187" t="str">
        <f ca="1">Sprache!$A$122</f>
        <v>Силовой механизм C</v>
      </c>
      <c r="AO733" s="187" t="str">
        <f ca="1">Sprache!$A$147</f>
        <v>Адаптер под алюминиевые рамки к комплекту Kinvaro S-35</v>
      </c>
      <c r="AP733" s="225" t="s">
        <v>814</v>
      </c>
      <c r="AQ733" s="187">
        <v>450</v>
      </c>
      <c r="AR733" s="124">
        <v>1200</v>
      </c>
      <c r="AS733" s="187"/>
      <c r="AT733" s="124"/>
      <c r="AV733"/>
      <c r="AX733" s="10"/>
      <c r="AY733" s="11"/>
      <c r="AZ733" s="2"/>
      <c r="BC733"/>
    </row>
    <row r="734" spans="1:55" hidden="1" x14ac:dyDescent="0.25">
      <c r="A734" s="12" t="str">
        <f ca="1">IF(F734+G734+H734+I734+J734+D734+E734=3,IF(Tabelle2[[#This Row],[Kappe Weiß]]=Limits!$R$29,1,""),"")</f>
        <v/>
      </c>
      <c r="B734" s="12" t="str">
        <f ca="1">IF(G734+H734+I734+J734+E734+F734=2,IF(Tabelle2[[#This Row],[Kappe Weiß]]=Limits!$R$29,1,""),"")</f>
        <v/>
      </c>
      <c r="C734" s="291">
        <v>0</v>
      </c>
      <c r="D734" s="171">
        <f>IF(Limits!$P$5=TRUE,1,0)</f>
        <v>0</v>
      </c>
      <c r="E734" s="172">
        <f>IF(Daten!$P734+Daten!$Q734+Daten!$S734=3,1,0)</f>
        <v>0</v>
      </c>
      <c r="F734" s="173">
        <f ca="1">IF(AND(Limits!$Q$21=TRUE,Daten!O734=1)=TRUE,1,0)</f>
        <v>0</v>
      </c>
      <c r="G734" s="174">
        <f>IF(AND(Limits!$Q$25=TRUE,Daten!N734=1)=TRUE,1,0)</f>
        <v>0</v>
      </c>
      <c r="H734" s="174">
        <f>IF(AND(Limits!$Q$24=TRUE,Daten!M734=1)=TRUE,1,0)</f>
        <v>0</v>
      </c>
      <c r="I734" s="174">
        <f>IF(AND(Limits!$Q$23=TRUE,Daten!L734=1)=TRUE,1,0)</f>
        <v>0</v>
      </c>
      <c r="J734" s="174">
        <f>IF(AND(Limits!$Q$22=TRUE,Daten!K734=1)=TRUE,1,0)</f>
        <v>0</v>
      </c>
      <c r="K734" s="188">
        <f>IF(Daten!$V734=13,1,0)</f>
        <v>1</v>
      </c>
      <c r="L734" s="189">
        <f>IF(Daten!$V734&lt;&gt;Daten!$W734,1,IF(Daten!$V734=14,1,0))</f>
        <v>1</v>
      </c>
      <c r="M734" s="189">
        <f>IF(Daten!$V734&lt;&gt;Daten!$W734,1,IF(Daten!$V734=16,1,0))</f>
        <v>1</v>
      </c>
      <c r="N734" s="189">
        <f>IF(Daten!$W734=17,1,0)</f>
        <v>1</v>
      </c>
      <c r="O734" s="190">
        <f ca="1">IF(Daten!$X734=Sprache!$A$70,1,0)</f>
        <v>0</v>
      </c>
      <c r="P734" s="191">
        <f>IF(AND(Daten!$AQ734&lt;=KINVARO!$AW$3,Daten!$AR734&gt;=KINVARO!$AW$3)=TRUE,1,0)</f>
        <v>1</v>
      </c>
      <c r="Q734" s="192">
        <f>IF(AND(Daten!$AA734&lt;=KINVARO!$AW$4,Daten!$AB734&gt;=KINVARO!$AW$4)=TRUE,1,0)</f>
        <v>0</v>
      </c>
      <c r="R734" s="192"/>
      <c r="S734" s="192">
        <f>IF(AND(Daten!$AD734&lt;=Limits!$I$70,Daten!$AE734&gt;=Limits!$I$70)=TRUE,1,0)</f>
        <v>1</v>
      </c>
      <c r="T734" s="193">
        <f ca="1">IF(Daten!$Y734=Sprache!$A$135,1,0)</f>
        <v>0</v>
      </c>
      <c r="U734" s="124" t="str">
        <f ca="1">Sprache!$A$69</f>
        <v>S-35 Откидной подъемник</v>
      </c>
      <c r="V734" s="194">
        <v>13</v>
      </c>
      <c r="W734" s="193">
        <v>17</v>
      </c>
      <c r="X734" s="187" t="str">
        <f ca="1">Sprache!$A$142</f>
        <v>Alu (Rahmen 19mm)</v>
      </c>
      <c r="Y734" s="187" t="str">
        <f ca="1">Sprache!$A$136</f>
        <v>nein</v>
      </c>
      <c r="Z734" s="187" t="str">
        <f ca="1">Sprache!$A$79</f>
        <v>Створка</v>
      </c>
      <c r="AA734" s="187">
        <v>690</v>
      </c>
      <c r="AB734" s="124">
        <v>719</v>
      </c>
      <c r="AC734" s="187"/>
      <c r="AD734" s="195">
        <v>6.5</v>
      </c>
      <c r="AE734" s="196">
        <v>13.5</v>
      </c>
      <c r="AF734" s="263" t="str">
        <f>MID(Tabelle2[[#This Row],[bnr full]],1,4)</f>
        <v>F152</v>
      </c>
      <c r="AG734" s="264" t="str">
        <f>MID(Tabelle2[[#This Row],[bnr full]],5,3)</f>
        <v>000</v>
      </c>
      <c r="AH734" s="265" t="str">
        <f>MID(Tabelle2[[#This Row],[bnr full]],8,3)</f>
        <v>258</v>
      </c>
      <c r="AI734" s="264" t="str">
        <f>MID(Tabelle2[[#This Row],[bnr full]],11,3)</f>
        <v>201</v>
      </c>
      <c r="AJ734" s="252" t="str">
        <f>MID(Tabelle2[[#This Row],[bnr full]],11,3)</f>
        <v>201</v>
      </c>
      <c r="AK734" s="197" t="s">
        <v>812</v>
      </c>
      <c r="AL734" s="124" t="str">
        <f ca="1">Sprache!$A$111</f>
        <v>Комплект (Л + П)</v>
      </c>
      <c r="AM734" s="187" t="s">
        <v>25</v>
      </c>
      <c r="AN734" s="187" t="str">
        <f ca="1">Sprache!$A$123</f>
        <v>Силовой механизм D</v>
      </c>
      <c r="AO734" s="187" t="str">
        <f ca="1">Sprache!$A$147</f>
        <v>Адаптер под алюминиевые рамки к комплекту Kinvaro S-35</v>
      </c>
      <c r="AP734" s="225" t="s">
        <v>814</v>
      </c>
      <c r="AQ734" s="187">
        <v>450</v>
      </c>
      <c r="AR734" s="124">
        <v>1200</v>
      </c>
      <c r="AS734" s="187"/>
      <c r="AT734" s="124"/>
      <c r="AV734"/>
      <c r="AX734" s="10"/>
      <c r="AY734" s="11"/>
      <c r="AZ734" s="2"/>
      <c r="BC734"/>
    </row>
    <row r="735" spans="1:55" hidden="1" x14ac:dyDescent="0.25">
      <c r="A735" s="12" t="str">
        <f ca="1">IF(F735+G735+H735+I735+J735+D735+E735=3,IF(Tabelle2[[#This Row],[Kappe Weiß]]=Limits!$R$29,1,""),"")</f>
        <v/>
      </c>
      <c r="B735" s="12" t="str">
        <f ca="1">IF(G735+H735+I735+J735+E735+F735=2,IF(Tabelle2[[#This Row],[Kappe Weiß]]=Limits!$R$29,1,""),"")</f>
        <v/>
      </c>
      <c r="C735" s="291">
        <v>0</v>
      </c>
      <c r="D735" s="171">
        <f>IF(Limits!$P$5=TRUE,1,0)</f>
        <v>0</v>
      </c>
      <c r="E735" s="172">
        <f>IF(Daten!$P735+Daten!$Q735+Daten!$S735=3,1,0)</f>
        <v>0</v>
      </c>
      <c r="F735" s="173">
        <f ca="1">IF(AND(Limits!$Q$21=TRUE,Daten!O735=1)=TRUE,1,0)</f>
        <v>0</v>
      </c>
      <c r="G735" s="174">
        <f>IF(AND(Limits!$Q$25=TRUE,Daten!N735=1)=TRUE,1,0)</f>
        <v>0</v>
      </c>
      <c r="H735" s="174">
        <f>IF(AND(Limits!$Q$24=TRUE,Daten!M735=1)=TRUE,1,0)</f>
        <v>0</v>
      </c>
      <c r="I735" s="174">
        <f>IF(AND(Limits!$Q$23=TRUE,Daten!L735=1)=TRUE,1,0)</f>
        <v>0</v>
      </c>
      <c r="J735" s="174">
        <f>IF(AND(Limits!$Q$22=TRUE,Daten!K735=1)=TRUE,1,0)</f>
        <v>0</v>
      </c>
      <c r="K735" s="188">
        <f>IF(Daten!$V735=13,1,0)</f>
        <v>1</v>
      </c>
      <c r="L735" s="189">
        <f>IF(Daten!$V735&lt;&gt;Daten!$W735,1,IF(Daten!$V735=14,1,0))</f>
        <v>1</v>
      </c>
      <c r="M735" s="189">
        <f>IF(Daten!$V735&lt;&gt;Daten!$W735,1,IF(Daten!$V735=16,1,0))</f>
        <v>1</v>
      </c>
      <c r="N735" s="189">
        <f>IF(Daten!$W735=17,1,0)</f>
        <v>1</v>
      </c>
      <c r="O735" s="190">
        <f ca="1">IF(Daten!$X735=Sprache!$A$70,1,0)</f>
        <v>0</v>
      </c>
      <c r="P735" s="191">
        <f>IF(AND(Daten!$AQ735&lt;=KINVARO!$AW$3,Daten!$AR735&gt;=KINVARO!$AW$3)=TRUE,1,0)</f>
        <v>1</v>
      </c>
      <c r="Q735" s="192">
        <f>IF(AND(Daten!$AA735&lt;=KINVARO!$AW$4,Daten!$AB735&gt;=KINVARO!$AW$4)=TRUE,1,0)</f>
        <v>0</v>
      </c>
      <c r="R735" s="192"/>
      <c r="S735" s="192">
        <f>IF(AND(Daten!$AD735&lt;=Limits!$I$70,Daten!$AE735&gt;=Limits!$I$70)=TRUE,1,0)</f>
        <v>0</v>
      </c>
      <c r="T735" s="193">
        <f ca="1">IF(Daten!$Y735=Sprache!$A$135,1,0)</f>
        <v>0</v>
      </c>
      <c r="U735" s="124" t="str">
        <f ca="1">Sprache!$A$69</f>
        <v>S-35 Откидной подъемник</v>
      </c>
      <c r="V735" s="194">
        <v>13</v>
      </c>
      <c r="W735" s="193">
        <v>17</v>
      </c>
      <c r="X735" s="187" t="str">
        <f ca="1">Sprache!$A$142</f>
        <v>Alu (Rahmen 19mm)</v>
      </c>
      <c r="Y735" s="187" t="str">
        <f ca="1">Sprache!$A$136</f>
        <v>nein</v>
      </c>
      <c r="Z735" s="187" t="str">
        <f ca="1">Sprache!$A$79</f>
        <v>Створка</v>
      </c>
      <c r="AA735" s="187">
        <v>690</v>
      </c>
      <c r="AB735" s="124">
        <v>719</v>
      </c>
      <c r="AC735" s="187"/>
      <c r="AD735" s="195">
        <v>12</v>
      </c>
      <c r="AE735" s="196">
        <v>17.5</v>
      </c>
      <c r="AF735" s="263" t="str">
        <f>MID(Tabelle2[[#This Row],[bnr full]],1,4)</f>
        <v>F152</v>
      </c>
      <c r="AG735" s="264" t="str">
        <f>MID(Tabelle2[[#This Row],[bnr full]],5,3)</f>
        <v>000</v>
      </c>
      <c r="AH735" s="265" t="str">
        <f>MID(Tabelle2[[#This Row],[bnr full]],8,3)</f>
        <v>259</v>
      </c>
      <c r="AI735" s="264" t="str">
        <f>MID(Tabelle2[[#This Row],[bnr full]],11,3)</f>
        <v>201</v>
      </c>
      <c r="AJ735" s="252" t="str">
        <f>MID(Tabelle2[[#This Row],[bnr full]],11,3)</f>
        <v>201</v>
      </c>
      <c r="AK735" s="197" t="s">
        <v>813</v>
      </c>
      <c r="AL735" s="124" t="str">
        <f ca="1">Sprache!$A$111</f>
        <v>Комплект (Л + П)</v>
      </c>
      <c r="AM735" s="187" t="s">
        <v>25</v>
      </c>
      <c r="AN735" s="187" t="str">
        <f ca="1">Sprache!$A$124</f>
        <v>Силовой механизм E</v>
      </c>
      <c r="AO735" s="187" t="str">
        <f ca="1">Sprache!$A$147</f>
        <v>Адаптер под алюминиевые рамки к комплекту Kinvaro S-35</v>
      </c>
      <c r="AP735" s="225" t="s">
        <v>814</v>
      </c>
      <c r="AQ735" s="187">
        <v>450</v>
      </c>
      <c r="AR735" s="124">
        <v>1200</v>
      </c>
      <c r="AS735" s="187"/>
      <c r="AT735" s="124"/>
      <c r="AV735"/>
      <c r="AX735" s="10"/>
      <c r="AY735" s="11"/>
      <c r="AZ735" s="2"/>
      <c r="BC735"/>
    </row>
    <row r="736" spans="1:55" hidden="1" x14ac:dyDescent="0.25">
      <c r="A736" s="12" t="str">
        <f ca="1">IF(F736+G736+H736+I736+J736+D736+E736=3,IF(Tabelle2[[#This Row],[Kappe Weiß]]=Limits!$R$29,1,""),"")</f>
        <v/>
      </c>
      <c r="B736" s="12" t="str">
        <f ca="1">IF(G736+H736+I736+J736+E736+F736=2,IF(Tabelle2[[#This Row],[Kappe Weiß]]=Limits!$R$29,1,""),"")</f>
        <v/>
      </c>
      <c r="C736" s="292">
        <v>0</v>
      </c>
      <c r="D736" s="171">
        <f>IF(Limits!$P$5=TRUE,1,0)</f>
        <v>0</v>
      </c>
      <c r="E736" s="172">
        <f>IF(Daten!$P736+Daten!$Q736+Daten!$S736=3,1,0)</f>
        <v>0</v>
      </c>
      <c r="F736" s="173">
        <f ca="1">IF(AND(Limits!$Q$21=TRUE,Daten!O736=1)=TRUE,1,0)</f>
        <v>1</v>
      </c>
      <c r="G736" s="174">
        <f ca="1">IF(AND(Limits!$Q$25=TRUE,Daten!N736=1)=TRUE,1,0)</f>
        <v>0</v>
      </c>
      <c r="H736" s="174">
        <f ca="1">IF(AND(Limits!$Q$24=TRUE,Daten!M736=1)=TRUE,1,0)</f>
        <v>0</v>
      </c>
      <c r="I736" s="174">
        <f ca="1">IF(AND(Limits!$Q$23=TRUE,Daten!L736=1)=TRUE,1,0)</f>
        <v>0</v>
      </c>
      <c r="J736" s="174">
        <f ca="1">IF(AND(Limits!$Q$22=TRUE,Daten!K736=1)=TRUE,1,0)</f>
        <v>0</v>
      </c>
      <c r="K736" s="188">
        <f ca="1">IF(Daten!$V736=13,1,0)</f>
        <v>0</v>
      </c>
      <c r="L736" s="189">
        <f ca="1">IF(Daten!$V736&lt;&gt;Daten!$W736,1,IF(Daten!$V736=14,1,0))</f>
        <v>0</v>
      </c>
      <c r="M736" s="189">
        <f ca="1">IF(Daten!$V736&lt;&gt;Daten!$W736,1,IF(Daten!$V736=16,1,0))</f>
        <v>0</v>
      </c>
      <c r="N736" s="189">
        <f ca="1">IF(Daten!$W736=17,1,0)</f>
        <v>0</v>
      </c>
      <c r="O736" s="190">
        <f ca="1">IF(Daten!$X736=Sprache!$A$70,1,0)</f>
        <v>1</v>
      </c>
      <c r="P736" s="198">
        <f>IF(AND(Daten!$AQ736&lt;=KINVARO!$AW$3,Daten!$AR736&gt;=KINVARO!$AW$3)=TRUE,1,0)</f>
        <v>1</v>
      </c>
      <c r="Q736" s="199">
        <f>IF(AND(Daten!$AA736&lt;=KINVARO!$AW$4,Daten!$AB736&gt;=KINVARO!$AW$4)=TRUE,1,0)</f>
        <v>0</v>
      </c>
      <c r="R736" s="199"/>
      <c r="S736" s="199">
        <f>IF(AND(Daten!$AD736&lt;=Limits!$I$70,Daten!$AE736&gt;=Limits!$I$70)=TRUE,1,0)</f>
        <v>0</v>
      </c>
      <c r="T736" s="200">
        <f ca="1">IF(Daten!$Y736=Sprache!$A$135,1,0)</f>
        <v>0</v>
      </c>
      <c r="U736" s="201" t="str">
        <f ca="1">Sprache!$A$69</f>
        <v>S-35 Откидной подъемник</v>
      </c>
      <c r="V736" s="202" t="str">
        <f ca="1">Sprache!$A$74</f>
        <v>var</v>
      </c>
      <c r="W736" s="200" t="str">
        <f ca="1">Sprache!$A$74</f>
        <v>var</v>
      </c>
      <c r="X736" s="203" t="str">
        <f ca="1">Sprache!$A$70</f>
        <v>соединение с древесиной</v>
      </c>
      <c r="Y736" s="187" t="str">
        <f ca="1">Sprache!$A$136</f>
        <v>nein</v>
      </c>
      <c r="Z736" s="203" t="str">
        <f ca="1">Sprache!$A$79</f>
        <v>Створка</v>
      </c>
      <c r="AA736" s="203">
        <v>720</v>
      </c>
      <c r="AB736" s="201">
        <v>750</v>
      </c>
      <c r="AC736" s="203"/>
      <c r="AD736" s="204">
        <v>4</v>
      </c>
      <c r="AE736" s="205">
        <v>8</v>
      </c>
      <c r="AF736" s="266" t="str">
        <f>MID(Tabelle2[[#This Row],[bnr full]],1,4)</f>
        <v>F152</v>
      </c>
      <c r="AG736" s="267" t="str">
        <f>MID(Tabelle2[[#This Row],[bnr full]],5,3)</f>
        <v>000</v>
      </c>
      <c r="AH736" s="268" t="str">
        <f>MID(Tabelle2[[#This Row],[bnr full]],8,3)</f>
        <v>257</v>
      </c>
      <c r="AI736" s="267" t="str">
        <f>MID(Tabelle2[[#This Row],[bnr full]],11,3)</f>
        <v>201</v>
      </c>
      <c r="AJ736" s="253" t="str">
        <f>MID(Tabelle2[[#This Row],[bnr full]],11,3)</f>
        <v>201</v>
      </c>
      <c r="AK736" s="206" t="s">
        <v>811</v>
      </c>
      <c r="AL736" s="201" t="str">
        <f ca="1">Sprache!$A$111</f>
        <v>Комплект (Л + П)</v>
      </c>
      <c r="AM736" s="203" t="s">
        <v>25</v>
      </c>
      <c r="AN736" s="203" t="str">
        <f ca="1">Sprache!$A$122</f>
        <v>Силовой механизм C</v>
      </c>
      <c r="AO736" s="203" t="s">
        <v>25</v>
      </c>
      <c r="AP736" s="203" t="s">
        <v>25</v>
      </c>
      <c r="AQ736" s="203">
        <v>450</v>
      </c>
      <c r="AR736" s="201">
        <v>1200</v>
      </c>
      <c r="AS736" s="187"/>
      <c r="AT736" s="124"/>
      <c r="AV736"/>
      <c r="AX736" s="10"/>
      <c r="AY736" s="11"/>
      <c r="AZ736" s="2"/>
      <c r="BC736"/>
    </row>
    <row r="737" spans="1:55" hidden="1" x14ac:dyDescent="0.25">
      <c r="A737" s="12" t="str">
        <f ca="1">IF(F737+G737+H737+I737+J737+D737+E737=3,IF(Tabelle2[[#This Row],[Kappe Weiß]]=Limits!$R$29,1,""),"")</f>
        <v/>
      </c>
      <c r="B737" s="12" t="str">
        <f ca="1">IF(G737+H737+I737+J737+E737+F737=2,IF(Tabelle2[[#This Row],[Kappe Weiß]]=Limits!$R$29,1,""),"")</f>
        <v/>
      </c>
      <c r="C737" s="291">
        <v>0</v>
      </c>
      <c r="D737" s="171">
        <f>IF(Limits!$P$5=TRUE,1,0)</f>
        <v>0</v>
      </c>
      <c r="E737" s="172">
        <f>IF(Daten!$P737+Daten!$Q737+Daten!$S737=3,1,0)</f>
        <v>0</v>
      </c>
      <c r="F737" s="173">
        <f ca="1">IF(AND(Limits!$Q$21=TRUE,Daten!O737=1)=TRUE,1,0)</f>
        <v>1</v>
      </c>
      <c r="G737" s="174">
        <f ca="1">IF(AND(Limits!$Q$25=TRUE,Daten!N737=1)=TRUE,1,0)</f>
        <v>0</v>
      </c>
      <c r="H737" s="174">
        <f ca="1">IF(AND(Limits!$Q$24=TRUE,Daten!M737=1)=TRUE,1,0)</f>
        <v>0</v>
      </c>
      <c r="I737" s="174">
        <f ca="1">IF(AND(Limits!$Q$23=TRUE,Daten!L737=1)=TRUE,1,0)</f>
        <v>0</v>
      </c>
      <c r="J737" s="174">
        <f ca="1">IF(AND(Limits!$Q$22=TRUE,Daten!K737=1)=TRUE,1,0)</f>
        <v>0</v>
      </c>
      <c r="K737" s="188">
        <f ca="1">IF(Daten!$V737=13,1,0)</f>
        <v>0</v>
      </c>
      <c r="L737" s="189">
        <f ca="1">IF(Daten!$V737&lt;&gt;Daten!$W737,1,IF(Daten!$V737=14,1,0))</f>
        <v>0</v>
      </c>
      <c r="M737" s="189">
        <f ca="1">IF(Daten!$V737&lt;&gt;Daten!$W737,1,IF(Daten!$V737=16,1,0))</f>
        <v>0</v>
      </c>
      <c r="N737" s="189">
        <f ca="1">IF(Daten!$W737=17,1,0)</f>
        <v>0</v>
      </c>
      <c r="O737" s="190">
        <f ca="1">IF(Daten!$X737=Sprache!$A$70,1,0)</f>
        <v>1</v>
      </c>
      <c r="P737" s="191">
        <f>IF(AND(Daten!$AQ737&lt;=KINVARO!$AW$3,Daten!$AR737&gt;=KINVARO!$AW$3)=TRUE,1,0)</f>
        <v>1</v>
      </c>
      <c r="Q737" s="192">
        <f>IF(AND(Daten!$AA737&lt;=KINVARO!$AW$4,Daten!$AB737&gt;=KINVARO!$AW$4)=TRUE,1,0)</f>
        <v>0</v>
      </c>
      <c r="R737" s="192"/>
      <c r="S737" s="192">
        <f>IF(AND(Daten!$AD737&lt;=Limits!$I$70,Daten!$AE737&gt;=Limits!$I$70)=TRUE,1,0)</f>
        <v>1</v>
      </c>
      <c r="T737" s="193">
        <f ca="1">IF(Daten!$Y737=Sprache!$A$135,1,0)</f>
        <v>0</v>
      </c>
      <c r="U737" s="124" t="str">
        <f ca="1">Sprache!$A$69</f>
        <v>S-35 Откидной подъемник</v>
      </c>
      <c r="V737" s="194" t="str">
        <f ca="1">Sprache!$A$74</f>
        <v>var</v>
      </c>
      <c r="W737" s="193" t="str">
        <f ca="1">Sprache!$A$74</f>
        <v>var</v>
      </c>
      <c r="X737" s="187" t="str">
        <f ca="1">Sprache!$A$70</f>
        <v>соединение с древесиной</v>
      </c>
      <c r="Y737" s="187" t="str">
        <f ca="1">Sprache!$A$136</f>
        <v>nein</v>
      </c>
      <c r="Z737" s="187" t="str">
        <f ca="1">Sprache!$A$79</f>
        <v>Створка</v>
      </c>
      <c r="AA737" s="187">
        <v>720</v>
      </c>
      <c r="AB737" s="124">
        <v>750</v>
      </c>
      <c r="AC737" s="187"/>
      <c r="AD737" s="195">
        <v>6.5</v>
      </c>
      <c r="AE737" s="196">
        <v>12.5</v>
      </c>
      <c r="AF737" s="263" t="str">
        <f>MID(Tabelle2[[#This Row],[bnr full]],1,4)</f>
        <v>F152</v>
      </c>
      <c r="AG737" s="264" t="str">
        <f>MID(Tabelle2[[#This Row],[bnr full]],5,3)</f>
        <v>000</v>
      </c>
      <c r="AH737" s="265" t="str">
        <f>MID(Tabelle2[[#This Row],[bnr full]],8,3)</f>
        <v>258</v>
      </c>
      <c r="AI737" s="264" t="str">
        <f>MID(Tabelle2[[#This Row],[bnr full]],11,3)</f>
        <v>201</v>
      </c>
      <c r="AJ737" s="252" t="str">
        <f>MID(Tabelle2[[#This Row],[bnr full]],11,3)</f>
        <v>201</v>
      </c>
      <c r="AK737" s="197" t="s">
        <v>812</v>
      </c>
      <c r="AL737" s="124" t="str">
        <f ca="1">Sprache!$A$111</f>
        <v>Комплект (Л + П)</v>
      </c>
      <c r="AM737" s="187" t="s">
        <v>25</v>
      </c>
      <c r="AN737" s="187" t="str">
        <f ca="1">Sprache!$A$123</f>
        <v>Силовой механизм D</v>
      </c>
      <c r="AO737" s="187" t="s">
        <v>25</v>
      </c>
      <c r="AP737" s="187" t="s">
        <v>25</v>
      </c>
      <c r="AQ737" s="187">
        <v>450</v>
      </c>
      <c r="AR737" s="124">
        <v>1200</v>
      </c>
      <c r="AS737" s="187"/>
      <c r="AT737" s="124"/>
      <c r="AV737"/>
      <c r="AX737" s="10"/>
      <c r="AY737" s="11"/>
      <c r="AZ737" s="2"/>
      <c r="BC737"/>
    </row>
    <row r="738" spans="1:55" hidden="1" x14ac:dyDescent="0.25">
      <c r="A738" s="12" t="str">
        <f ca="1">IF(F738+G738+H738+I738+J738+D738+E738=3,IF(Tabelle2[[#This Row],[Kappe Weiß]]=Limits!$R$29,1,""),"")</f>
        <v/>
      </c>
      <c r="B738" s="12" t="str">
        <f ca="1">IF(G738+H738+I738+J738+E738+F738=2,IF(Tabelle2[[#This Row],[Kappe Weiß]]=Limits!$R$29,1,""),"")</f>
        <v/>
      </c>
      <c r="C738" s="291">
        <v>0</v>
      </c>
      <c r="D738" s="171">
        <f>IF(Limits!$P$5=TRUE,1,0)</f>
        <v>0</v>
      </c>
      <c r="E738" s="172">
        <f>IF(Daten!$P738+Daten!$Q738+Daten!$S738=3,1,0)</f>
        <v>0</v>
      </c>
      <c r="F738" s="173">
        <f ca="1">IF(AND(Limits!$Q$21=TRUE,Daten!O738=1)=TRUE,1,0)</f>
        <v>1</v>
      </c>
      <c r="G738" s="174">
        <f ca="1">IF(AND(Limits!$Q$25=TRUE,Daten!N738=1)=TRUE,1,0)</f>
        <v>0</v>
      </c>
      <c r="H738" s="174">
        <f ca="1">IF(AND(Limits!$Q$24=TRUE,Daten!M738=1)=TRUE,1,0)</f>
        <v>0</v>
      </c>
      <c r="I738" s="174">
        <f ca="1">IF(AND(Limits!$Q$23=TRUE,Daten!L738=1)=TRUE,1,0)</f>
        <v>0</v>
      </c>
      <c r="J738" s="174">
        <f ca="1">IF(AND(Limits!$Q$22=TRUE,Daten!K738=1)=TRUE,1,0)</f>
        <v>0</v>
      </c>
      <c r="K738" s="188">
        <f ca="1">IF(Daten!$V738=13,1,0)</f>
        <v>0</v>
      </c>
      <c r="L738" s="189">
        <f ca="1">IF(Daten!$V738&lt;&gt;Daten!$W738,1,IF(Daten!$V738=14,1,0))</f>
        <v>0</v>
      </c>
      <c r="M738" s="189">
        <f ca="1">IF(Daten!$V738&lt;&gt;Daten!$W738,1,IF(Daten!$V738=16,1,0))</f>
        <v>0</v>
      </c>
      <c r="N738" s="189">
        <f ca="1">IF(Daten!$W738=17,1,0)</f>
        <v>0</v>
      </c>
      <c r="O738" s="190">
        <f ca="1">IF(Daten!$X738=Sprache!$A$70,1,0)</f>
        <v>1</v>
      </c>
      <c r="P738" s="191">
        <f>IF(AND(Daten!$AQ738&lt;=KINVARO!$AW$3,Daten!$AR738&gt;=KINVARO!$AW$3)=TRUE,1,0)</f>
        <v>1</v>
      </c>
      <c r="Q738" s="192">
        <f>IF(AND(Daten!$AA738&lt;=KINVARO!$AW$4,Daten!$AB738&gt;=KINVARO!$AW$4)=TRUE,1,0)</f>
        <v>0</v>
      </c>
      <c r="R738" s="192"/>
      <c r="S738" s="192">
        <f>IF(AND(Daten!$AD738&lt;=Limits!$I$70,Daten!$AE738&gt;=Limits!$I$70)=TRUE,1,0)</f>
        <v>0</v>
      </c>
      <c r="T738" s="193">
        <f ca="1">IF(Daten!$Y738=Sprache!$A$135,1,0)</f>
        <v>0</v>
      </c>
      <c r="U738" s="124" t="str">
        <f ca="1">Sprache!$A$69</f>
        <v>S-35 Откидной подъемник</v>
      </c>
      <c r="V738" s="194" t="str">
        <f ca="1">Sprache!$A$74</f>
        <v>var</v>
      </c>
      <c r="W738" s="193" t="str">
        <f ca="1">Sprache!$A$74</f>
        <v>var</v>
      </c>
      <c r="X738" s="187" t="str">
        <f ca="1">Sprache!$A$70</f>
        <v>соединение с древесиной</v>
      </c>
      <c r="Y738" s="187" t="str">
        <f ca="1">Sprache!$A$136</f>
        <v>nein</v>
      </c>
      <c r="Z738" s="187" t="str">
        <f ca="1">Sprache!$A$79</f>
        <v>Створка</v>
      </c>
      <c r="AA738" s="187">
        <v>720</v>
      </c>
      <c r="AB738" s="124">
        <v>750</v>
      </c>
      <c r="AC738" s="187"/>
      <c r="AD738" s="195">
        <v>10</v>
      </c>
      <c r="AE738" s="196">
        <v>17</v>
      </c>
      <c r="AF738" s="263" t="str">
        <f>MID(Tabelle2[[#This Row],[bnr full]],1,4)</f>
        <v>F152</v>
      </c>
      <c r="AG738" s="264" t="str">
        <f>MID(Tabelle2[[#This Row],[bnr full]],5,3)</f>
        <v>000</v>
      </c>
      <c r="AH738" s="265" t="str">
        <f>MID(Tabelle2[[#This Row],[bnr full]],8,3)</f>
        <v>259</v>
      </c>
      <c r="AI738" s="264" t="str">
        <f>MID(Tabelle2[[#This Row],[bnr full]],11,3)</f>
        <v>201</v>
      </c>
      <c r="AJ738" s="252" t="str">
        <f>MID(Tabelle2[[#This Row],[bnr full]],11,3)</f>
        <v>201</v>
      </c>
      <c r="AK738" s="197" t="s">
        <v>813</v>
      </c>
      <c r="AL738" s="124" t="str">
        <f ca="1">Sprache!$A$111</f>
        <v>Комплект (Л + П)</v>
      </c>
      <c r="AM738" s="187" t="s">
        <v>25</v>
      </c>
      <c r="AN738" s="187" t="str">
        <f ca="1">Sprache!$A$124</f>
        <v>Силовой механизм E</v>
      </c>
      <c r="AO738" s="187" t="s">
        <v>25</v>
      </c>
      <c r="AP738" s="187" t="s">
        <v>25</v>
      </c>
      <c r="AQ738" s="187">
        <v>450</v>
      </c>
      <c r="AR738" s="124">
        <v>1200</v>
      </c>
      <c r="AS738" s="187"/>
      <c r="AT738" s="124"/>
      <c r="AV738"/>
      <c r="AX738" s="10"/>
      <c r="AY738" s="11"/>
      <c r="AZ738" s="2"/>
      <c r="BC738"/>
    </row>
    <row r="739" spans="1:55" hidden="1" x14ac:dyDescent="0.25">
      <c r="A739" s="12" t="str">
        <f ca="1">IF(F739+G739+H739+I739+J739+D739+E739=3,IF(Tabelle2[[#This Row],[Kappe Weiß]]=Limits!$R$29,1,""),"")</f>
        <v/>
      </c>
      <c r="B739" s="12" t="str">
        <f ca="1">IF(G739+H739+I739+J739+E739+F739=2,IF(Tabelle2[[#This Row],[Kappe Weiß]]=Limits!$R$29,1,""),"")</f>
        <v/>
      </c>
      <c r="C739" s="291">
        <v>0</v>
      </c>
      <c r="D739" s="171">
        <f>IF(Limits!$P$5=TRUE,1,0)</f>
        <v>0</v>
      </c>
      <c r="E739" s="172">
        <f>IF(Daten!$P739+Daten!$Q739+Daten!$S739=3,1,0)</f>
        <v>0</v>
      </c>
      <c r="F739" s="173">
        <f ca="1">IF(AND(Limits!$Q$21=TRUE,Daten!O739=1)=TRUE,1,0)</f>
        <v>0</v>
      </c>
      <c r="G739" s="174">
        <f>IF(AND(Limits!$Q$25=TRUE,Daten!N739=1)=TRUE,1,0)</f>
        <v>0</v>
      </c>
      <c r="H739" s="174">
        <f>IF(AND(Limits!$Q$24=TRUE,Daten!M739=1)=TRUE,1,0)</f>
        <v>0</v>
      </c>
      <c r="I739" s="174">
        <f>IF(AND(Limits!$Q$23=TRUE,Daten!L739=1)=TRUE,1,0)</f>
        <v>0</v>
      </c>
      <c r="J739" s="174">
        <f>IF(AND(Limits!$Q$22=TRUE,Daten!K739=1)=TRUE,1,0)</f>
        <v>0</v>
      </c>
      <c r="K739" s="188">
        <f>IF(Daten!$V739=13,1,0)</f>
        <v>1</v>
      </c>
      <c r="L739" s="189">
        <f>IF(Daten!$V739&lt;&gt;Daten!$W739,1,IF(Daten!$V739=14,1,0))</f>
        <v>1</v>
      </c>
      <c r="M739" s="189">
        <f>IF(Daten!$V739&lt;&gt;Daten!$W739,1,IF(Daten!$V739=16,1,0))</f>
        <v>1</v>
      </c>
      <c r="N739" s="189">
        <f>IF(Daten!$W739=17,1,0)</f>
        <v>1</v>
      </c>
      <c r="O739" s="190">
        <f ca="1">IF(Daten!$X739=Sprache!$A$70,1,0)</f>
        <v>0</v>
      </c>
      <c r="P739" s="191">
        <f>IF(AND(Daten!$AQ739&lt;=KINVARO!$AW$3,Daten!$AR739&gt;=KINVARO!$AW$3)=TRUE,1,0)</f>
        <v>1</v>
      </c>
      <c r="Q739" s="192">
        <f>IF(AND(Daten!$AA739&lt;=KINVARO!$AW$4,Daten!$AB739&gt;=KINVARO!$AW$4)=TRUE,1,0)</f>
        <v>0</v>
      </c>
      <c r="R739" s="192"/>
      <c r="S739" s="192">
        <f>IF(AND(Daten!$AD739&lt;=Limits!$I$70,Daten!$AE739&gt;=Limits!$I$70)=TRUE,1,0)</f>
        <v>0</v>
      </c>
      <c r="T739" s="193">
        <f ca="1">IF(Daten!$Y739=Sprache!$A$135,1,0)</f>
        <v>0</v>
      </c>
      <c r="U739" s="124" t="str">
        <f ca="1">Sprache!$A$69</f>
        <v>S-35 Откидной подъемник</v>
      </c>
      <c r="V739" s="194">
        <v>13</v>
      </c>
      <c r="W739" s="193">
        <v>17</v>
      </c>
      <c r="X739" s="187" t="str">
        <f ca="1">Sprache!$A$142</f>
        <v>Alu (Rahmen 19mm)</v>
      </c>
      <c r="Y739" s="187" t="str">
        <f ca="1">Sprache!$A$136</f>
        <v>nein</v>
      </c>
      <c r="Z739" s="187" t="str">
        <f ca="1">Sprache!$A$79</f>
        <v>Створка</v>
      </c>
      <c r="AA739" s="187">
        <v>720</v>
      </c>
      <c r="AB739" s="124">
        <v>750</v>
      </c>
      <c r="AC739" s="187"/>
      <c r="AD739" s="195">
        <v>4</v>
      </c>
      <c r="AE739" s="196">
        <v>8</v>
      </c>
      <c r="AF739" s="263" t="str">
        <f>MID(Tabelle2[[#This Row],[bnr full]],1,4)</f>
        <v>F152</v>
      </c>
      <c r="AG739" s="264" t="str">
        <f>MID(Tabelle2[[#This Row],[bnr full]],5,3)</f>
        <v>000</v>
      </c>
      <c r="AH739" s="265" t="str">
        <f>MID(Tabelle2[[#This Row],[bnr full]],8,3)</f>
        <v>257</v>
      </c>
      <c r="AI739" s="264" t="str">
        <f>MID(Tabelle2[[#This Row],[bnr full]],11,3)</f>
        <v>201</v>
      </c>
      <c r="AJ739" s="252" t="str">
        <f>MID(Tabelle2[[#This Row],[bnr full]],11,3)</f>
        <v>201</v>
      </c>
      <c r="AK739" s="197" t="s">
        <v>811</v>
      </c>
      <c r="AL739" s="124" t="str">
        <f ca="1">Sprache!$A$111</f>
        <v>Комплект (Л + П)</v>
      </c>
      <c r="AM739" s="187" t="s">
        <v>25</v>
      </c>
      <c r="AN739" s="187" t="str">
        <f ca="1">Sprache!$A$122</f>
        <v>Силовой механизм C</v>
      </c>
      <c r="AO739" s="187" t="str">
        <f ca="1">Sprache!$A$147</f>
        <v>Адаптер под алюминиевые рамки к комплекту Kinvaro S-35</v>
      </c>
      <c r="AP739" s="225" t="s">
        <v>814</v>
      </c>
      <c r="AQ739" s="187">
        <v>450</v>
      </c>
      <c r="AR739" s="124">
        <v>1200</v>
      </c>
      <c r="AS739" s="187"/>
      <c r="AT739" s="124"/>
      <c r="AV739"/>
      <c r="AX739" s="10"/>
      <c r="AY739" s="11"/>
      <c r="AZ739" s="2"/>
      <c r="BC739"/>
    </row>
    <row r="740" spans="1:55" hidden="1" x14ac:dyDescent="0.25">
      <c r="A740" s="12" t="str">
        <f ca="1">IF(F740+G740+H740+I740+J740+D740+E740=3,IF(Tabelle2[[#This Row],[Kappe Weiß]]=Limits!$R$29,1,""),"")</f>
        <v/>
      </c>
      <c r="B740" s="12" t="str">
        <f ca="1">IF(G740+H740+I740+J740+E740+F740=2,IF(Tabelle2[[#This Row],[Kappe Weiß]]=Limits!$R$29,1,""),"")</f>
        <v/>
      </c>
      <c r="C740" s="291">
        <v>0</v>
      </c>
      <c r="D740" s="171">
        <f>IF(Limits!$P$5=TRUE,1,0)</f>
        <v>0</v>
      </c>
      <c r="E740" s="172">
        <f>IF(Daten!$P740+Daten!$Q740+Daten!$S740=3,1,0)</f>
        <v>0</v>
      </c>
      <c r="F740" s="173">
        <f ca="1">IF(AND(Limits!$Q$21=TRUE,Daten!O740=1)=TRUE,1,0)</f>
        <v>0</v>
      </c>
      <c r="G740" s="174">
        <f>IF(AND(Limits!$Q$25=TRUE,Daten!N740=1)=TRUE,1,0)</f>
        <v>0</v>
      </c>
      <c r="H740" s="174">
        <f>IF(AND(Limits!$Q$24=TRUE,Daten!M740=1)=TRUE,1,0)</f>
        <v>0</v>
      </c>
      <c r="I740" s="174">
        <f>IF(AND(Limits!$Q$23=TRUE,Daten!L740=1)=TRUE,1,0)</f>
        <v>0</v>
      </c>
      <c r="J740" s="174">
        <f>IF(AND(Limits!$Q$22=TRUE,Daten!K740=1)=TRUE,1,0)</f>
        <v>0</v>
      </c>
      <c r="K740" s="188">
        <f>IF(Daten!$V740=13,1,0)</f>
        <v>1</v>
      </c>
      <c r="L740" s="189">
        <f>IF(Daten!$V740&lt;&gt;Daten!$W740,1,IF(Daten!$V740=14,1,0))</f>
        <v>1</v>
      </c>
      <c r="M740" s="189">
        <f>IF(Daten!$V740&lt;&gt;Daten!$W740,1,IF(Daten!$V740=16,1,0))</f>
        <v>1</v>
      </c>
      <c r="N740" s="189">
        <f>IF(Daten!$W740=17,1,0)</f>
        <v>1</v>
      </c>
      <c r="O740" s="190">
        <f ca="1">IF(Daten!$X740=Sprache!$A$70,1,0)</f>
        <v>0</v>
      </c>
      <c r="P740" s="191">
        <f>IF(AND(Daten!$AQ740&lt;=KINVARO!$AW$3,Daten!$AR740&gt;=KINVARO!$AW$3)=TRUE,1,0)</f>
        <v>1</v>
      </c>
      <c r="Q740" s="192">
        <f>IF(AND(Daten!$AA740&lt;=KINVARO!$AW$4,Daten!$AB740&gt;=KINVARO!$AW$4)=TRUE,1,0)</f>
        <v>0</v>
      </c>
      <c r="R740" s="192"/>
      <c r="S740" s="192">
        <f>IF(AND(Daten!$AD740&lt;=Limits!$I$70,Daten!$AE740&gt;=Limits!$I$70)=TRUE,1,0)</f>
        <v>1</v>
      </c>
      <c r="T740" s="193">
        <f ca="1">IF(Daten!$Y740=Sprache!$A$135,1,0)</f>
        <v>0</v>
      </c>
      <c r="U740" s="124" t="str">
        <f ca="1">Sprache!$A$69</f>
        <v>S-35 Откидной подъемник</v>
      </c>
      <c r="V740" s="194">
        <v>13</v>
      </c>
      <c r="W740" s="193">
        <v>17</v>
      </c>
      <c r="X740" s="187" t="str">
        <f ca="1">Sprache!$A$142</f>
        <v>Alu (Rahmen 19mm)</v>
      </c>
      <c r="Y740" s="187" t="str">
        <f ca="1">Sprache!$A$136</f>
        <v>nein</v>
      </c>
      <c r="Z740" s="187" t="str">
        <f ca="1">Sprache!$A$79</f>
        <v>Створка</v>
      </c>
      <c r="AA740" s="187">
        <v>720</v>
      </c>
      <c r="AB740" s="124">
        <v>750</v>
      </c>
      <c r="AC740" s="187"/>
      <c r="AD740" s="195">
        <v>6.5</v>
      </c>
      <c r="AE740" s="196">
        <v>12.5</v>
      </c>
      <c r="AF740" s="263" t="str">
        <f>MID(Tabelle2[[#This Row],[bnr full]],1,4)</f>
        <v>F152</v>
      </c>
      <c r="AG740" s="264" t="str">
        <f>MID(Tabelle2[[#This Row],[bnr full]],5,3)</f>
        <v>000</v>
      </c>
      <c r="AH740" s="265" t="str">
        <f>MID(Tabelle2[[#This Row],[bnr full]],8,3)</f>
        <v>258</v>
      </c>
      <c r="AI740" s="264" t="str">
        <f>MID(Tabelle2[[#This Row],[bnr full]],11,3)</f>
        <v>201</v>
      </c>
      <c r="AJ740" s="252" t="str">
        <f>MID(Tabelle2[[#This Row],[bnr full]],11,3)</f>
        <v>201</v>
      </c>
      <c r="AK740" s="197" t="s">
        <v>812</v>
      </c>
      <c r="AL740" s="124" t="str">
        <f ca="1">Sprache!$A$111</f>
        <v>Комплект (Л + П)</v>
      </c>
      <c r="AM740" s="187" t="s">
        <v>25</v>
      </c>
      <c r="AN740" s="187" t="str">
        <f ca="1">Sprache!$A$123</f>
        <v>Силовой механизм D</v>
      </c>
      <c r="AO740" s="187" t="str">
        <f ca="1">Sprache!$A$147</f>
        <v>Адаптер под алюминиевые рамки к комплекту Kinvaro S-35</v>
      </c>
      <c r="AP740" s="225" t="s">
        <v>814</v>
      </c>
      <c r="AQ740" s="187">
        <v>450</v>
      </c>
      <c r="AR740" s="124">
        <v>1200</v>
      </c>
      <c r="AS740" s="187"/>
      <c r="AT740" s="124"/>
      <c r="AV740"/>
      <c r="AX740" s="10"/>
      <c r="AY740" s="11"/>
      <c r="AZ740" s="2"/>
      <c r="BC740"/>
    </row>
    <row r="741" spans="1:55" ht="15.75" hidden="1" thickBot="1" x14ac:dyDescent="0.3">
      <c r="A741" s="12" t="str">
        <f ca="1">IF(F741+G741+H741+I741+J741+D741+E741=3,IF(Tabelle2[[#This Row],[Kappe Weiß]]=Limits!$R$29,1,""),"")</f>
        <v/>
      </c>
      <c r="B741" s="12" t="str">
        <f ca="1">IF(G741+H741+I741+J741+E741+F741=2,IF(Tabelle2[[#This Row],[Kappe Weiß]]=Limits!$R$29,1,""),"")</f>
        <v/>
      </c>
      <c r="C741" s="295">
        <v>0</v>
      </c>
      <c r="D741" s="171">
        <f>IF(Limits!$P$5=TRUE,1,0)</f>
        <v>0</v>
      </c>
      <c r="E741" s="172">
        <f>IF(Daten!$P741+Daten!$Q741+Daten!$S741=3,1,0)</f>
        <v>0</v>
      </c>
      <c r="F741" s="173">
        <f ca="1">IF(AND(Limits!$Q$21=TRUE,Daten!O741=1)=TRUE,1,0)</f>
        <v>0</v>
      </c>
      <c r="G741" s="174">
        <f>IF(AND(Limits!$Q$25=TRUE,Daten!N741=1)=TRUE,1,0)</f>
        <v>0</v>
      </c>
      <c r="H741" s="174">
        <f>IF(AND(Limits!$Q$24=TRUE,Daten!M741=1)=TRUE,1,0)</f>
        <v>0</v>
      </c>
      <c r="I741" s="174">
        <f>IF(AND(Limits!$Q$23=TRUE,Daten!L741=1)=TRUE,1,0)</f>
        <v>0</v>
      </c>
      <c r="J741" s="174">
        <f>IF(AND(Limits!$Q$22=TRUE,Daten!K741=1)=TRUE,1,0)</f>
        <v>0</v>
      </c>
      <c r="K741" s="226">
        <f>IF(Daten!$V741=13,1,0)</f>
        <v>1</v>
      </c>
      <c r="L741" s="227">
        <f>IF(Daten!$V741&lt;&gt;Daten!$W741,1,IF(Daten!$V741=14,1,0))</f>
        <v>1</v>
      </c>
      <c r="M741" s="227">
        <f>IF(Daten!$V741&lt;&gt;Daten!$W741,1,IF(Daten!$V741=16,1,0))</f>
        <v>1</v>
      </c>
      <c r="N741" s="227">
        <f>IF(Daten!$W741=17,1,0)</f>
        <v>1</v>
      </c>
      <c r="O741" s="228">
        <f ca="1">IF(Daten!$X741=Sprache!$A$70,1,0)</f>
        <v>0</v>
      </c>
      <c r="P741" s="229">
        <f>IF(AND(Daten!$AQ741&lt;=KINVARO!$AW$3,Daten!$AR741&gt;=KINVARO!$AW$3)=TRUE,1,0)</f>
        <v>1</v>
      </c>
      <c r="Q741" s="230">
        <f>IF(AND(Daten!$AA741&lt;=KINVARO!$AW$4,Daten!$AB741&gt;=KINVARO!$AW$4)=TRUE,1,0)</f>
        <v>0</v>
      </c>
      <c r="R741" s="230"/>
      <c r="S741" s="230">
        <f>IF(AND(Daten!$AD741&lt;=Limits!$I$70,Daten!$AE741&gt;=Limits!$I$70)=TRUE,1,0)</f>
        <v>0</v>
      </c>
      <c r="T741" s="231">
        <f ca="1">IF(Daten!$Y741=Sprache!$A$135,1,0)</f>
        <v>0</v>
      </c>
      <c r="U741" s="232" t="str">
        <f ca="1">Sprache!$A$69</f>
        <v>S-35 Откидной подъемник</v>
      </c>
      <c r="V741" s="233">
        <v>13</v>
      </c>
      <c r="W741" s="231">
        <v>17</v>
      </c>
      <c r="X741" s="234" t="str">
        <f ca="1">Sprache!$A$142</f>
        <v>Alu (Rahmen 19mm)</v>
      </c>
      <c r="Y741" s="234" t="str">
        <f ca="1">Sprache!$A$136</f>
        <v>nein</v>
      </c>
      <c r="Z741" s="234" t="str">
        <f ca="1">Sprache!$A$79</f>
        <v>Створка</v>
      </c>
      <c r="AA741" s="234">
        <v>720</v>
      </c>
      <c r="AB741" s="232">
        <v>750</v>
      </c>
      <c r="AC741" s="234"/>
      <c r="AD741" s="235">
        <v>10</v>
      </c>
      <c r="AE741" s="236">
        <v>17</v>
      </c>
      <c r="AF741" s="275" t="str">
        <f>MID(Tabelle2[[#This Row],[bnr full]],1,4)</f>
        <v>F152</v>
      </c>
      <c r="AG741" s="276" t="str">
        <f>MID(Tabelle2[[#This Row],[bnr full]],5,3)</f>
        <v>000</v>
      </c>
      <c r="AH741" s="277" t="str">
        <f>MID(Tabelle2[[#This Row],[bnr full]],8,3)</f>
        <v>259</v>
      </c>
      <c r="AI741" s="276" t="str">
        <f>MID(Tabelle2[[#This Row],[bnr full]],11,3)</f>
        <v>201</v>
      </c>
      <c r="AJ741" s="256" t="str">
        <f>MID(Tabelle2[[#This Row],[bnr full]],11,3)</f>
        <v>201</v>
      </c>
      <c r="AK741" s="237" t="s">
        <v>813</v>
      </c>
      <c r="AL741" s="232" t="str">
        <f ca="1">Sprache!$A$111</f>
        <v>Комплект (Л + П)</v>
      </c>
      <c r="AM741" s="234" t="s">
        <v>25</v>
      </c>
      <c r="AN741" s="234" t="str">
        <f ca="1">Sprache!$A$124</f>
        <v>Силовой механизм E</v>
      </c>
      <c r="AO741" s="234" t="str">
        <f ca="1">Sprache!$A$147</f>
        <v>Адаптер под алюминиевые рамки к комплекту Kinvaro S-35</v>
      </c>
      <c r="AP741" s="238" t="s">
        <v>814</v>
      </c>
      <c r="AQ741" s="234">
        <v>450</v>
      </c>
      <c r="AR741" s="232">
        <v>1200</v>
      </c>
      <c r="AS741" s="187"/>
      <c r="AT741" s="124"/>
      <c r="AV741"/>
      <c r="AX741" s="10"/>
      <c r="AY741" s="11"/>
      <c r="AZ741" s="2"/>
      <c r="BC741"/>
    </row>
    <row r="742" spans="1:55" ht="15.75" hidden="1" thickTop="1" x14ac:dyDescent="0.25">
      <c r="A742" s="12" t="str">
        <f ca="1">IF(F742+G742+H742+I742+J742+D742+E742=3,IF(Tabelle2[[#This Row],[Kappe Weiß]]=Limits!$R$29,1,""),"")</f>
        <v/>
      </c>
      <c r="B742" s="282" t="str">
        <f ca="1">IF(G742+H742+I742+J742+E742+F742=2,IF(Tabelle2[[#This Row],[Kappe Weiß]]=Limits!$R$29,1,""),"")</f>
        <v/>
      </c>
      <c r="C742" s="293">
        <v>1</v>
      </c>
      <c r="D742" s="171">
        <f>IF(Limits!$P$5=TRUE,1,0)</f>
        <v>0</v>
      </c>
      <c r="E742" s="172">
        <f>IF(Daten!$P742+Daten!$Q742+Daten!$S742=3,1,0)</f>
        <v>0</v>
      </c>
      <c r="F742" s="173">
        <f ca="1">IF(AND(Limits!$Q$21=TRUE,Daten!O742=1)=TRUE,1,0)</f>
        <v>1</v>
      </c>
      <c r="G742" s="174">
        <f ca="1">IF(AND(Limits!$Q$25=TRUE,Daten!N742=1)=TRUE,1,0)</f>
        <v>0</v>
      </c>
      <c r="H742" s="174">
        <f ca="1">IF(AND(Limits!$Q$24=TRUE,Daten!M742=1)=TRUE,1,0)</f>
        <v>0</v>
      </c>
      <c r="I742" s="174">
        <f ca="1">IF(AND(Limits!$Q$23=TRUE,Daten!L742=1)=TRUE,1,0)</f>
        <v>0</v>
      </c>
      <c r="J742" s="174">
        <f ca="1">IF(AND(Limits!$Q$22=TRUE,Daten!K742=1)=TRUE,1,0)</f>
        <v>0</v>
      </c>
      <c r="K742" s="188">
        <f ca="1">IF(Daten!$V742=13,1,0)</f>
        <v>0</v>
      </c>
      <c r="L742" s="189">
        <f ca="1">IF(Daten!$V742&lt;&gt;Daten!$W742,1,IF(Daten!$V742=14,1,0))</f>
        <v>0</v>
      </c>
      <c r="M742" s="189">
        <f ca="1">IF(Daten!$V742&lt;&gt;Daten!$W742,1,IF(Daten!$V742=16,1,0))</f>
        <v>0</v>
      </c>
      <c r="N742" s="189">
        <f ca="1">IF(Daten!$W742=17,1,0)</f>
        <v>0</v>
      </c>
      <c r="O742" s="190">
        <f ca="1">IF(Daten!$X742=Sprache!$A$70,1,0)</f>
        <v>1</v>
      </c>
      <c r="P742" s="208">
        <f>IF(AND(Daten!$AQ742&lt;=KINVARO!$AW$3,Daten!$AR742&gt;=KINVARO!$AW$3)=TRUE,1,0)</f>
        <v>1</v>
      </c>
      <c r="Q742" s="209">
        <f>IF(AND(Daten!$AA742&lt;=KINVARO!$AW$4,Daten!$AB742&gt;=KINVARO!$AW$4)=TRUE,1,0)</f>
        <v>0</v>
      </c>
      <c r="R742" s="209"/>
      <c r="S742" s="209">
        <f>IF(AND(Daten!$AD742&lt;=Limits!$I$70,Daten!$AE742&gt;=Limits!$I$70)=TRUE,1,0)</f>
        <v>0</v>
      </c>
      <c r="T742" s="210">
        <f ca="1">IF(Daten!$Y742=Sprache!$A$135,1,0)</f>
        <v>0</v>
      </c>
      <c r="U742" s="211" t="str">
        <f ca="1">Sprache!$A$69</f>
        <v>S-35 Откидной подъемник</v>
      </c>
      <c r="V742" s="194" t="str">
        <f ca="1">Sprache!$A$74</f>
        <v>var</v>
      </c>
      <c r="W742" s="210" t="str">
        <f ca="1">Sprache!$A$74</f>
        <v>var</v>
      </c>
      <c r="X742" s="187" t="str">
        <f ca="1">Sprache!$A$70</f>
        <v>соединение с древесиной</v>
      </c>
      <c r="Y742" s="187" t="str">
        <f ca="1">Sprache!$A$136</f>
        <v>nein</v>
      </c>
      <c r="Z742" s="187" t="str">
        <f ca="1">Sprache!$A$79</f>
        <v>Створка</v>
      </c>
      <c r="AA742" s="187">
        <v>420</v>
      </c>
      <c r="AB742" s="211">
        <v>449</v>
      </c>
      <c r="AC742" s="187"/>
      <c r="AD742" s="195">
        <v>1.5</v>
      </c>
      <c r="AE742" s="215">
        <v>7.5</v>
      </c>
      <c r="AF742" s="263" t="str">
        <f>MID(Tabelle2[[#This Row],[bnr full]],1,4)</f>
        <v>F152</v>
      </c>
      <c r="AG742" s="270" t="str">
        <f>MID(Tabelle2[[#This Row],[bnr full]],5,3)</f>
        <v>000</v>
      </c>
      <c r="AH742" s="271" t="str">
        <f>MID(Tabelle2[[#This Row],[bnr full]],8,3)</f>
        <v>255</v>
      </c>
      <c r="AI742" s="285" t="str">
        <f>MID(Tabelle2[[#This Row],[bnr full]],11,3)</f>
        <v>201</v>
      </c>
      <c r="AJ742" s="249" t="str">
        <f>MID(Tabelle2[[#This Row],[bnr full]],11,3)</f>
        <v>201</v>
      </c>
      <c r="AK742" s="284" t="s">
        <v>809</v>
      </c>
      <c r="AL742" s="187" t="str">
        <f ca="1">Sprache!$A$111</f>
        <v>Комплект (Л + П)</v>
      </c>
      <c r="AM742" s="187" t="s">
        <v>25</v>
      </c>
      <c r="AN742" s="187" t="str">
        <f ca="1">Sprache!$A$120</f>
        <v>Силовой механизм A</v>
      </c>
      <c r="AO742" s="187" t="s">
        <v>25</v>
      </c>
      <c r="AP742" s="187" t="s">
        <v>25</v>
      </c>
      <c r="AQ742" s="187">
        <v>450</v>
      </c>
      <c r="AR742" s="124">
        <v>1200</v>
      </c>
      <c r="AS742" s="187"/>
      <c r="AT742" s="124"/>
      <c r="AV742"/>
      <c r="AX742" s="10"/>
      <c r="AY742" s="11"/>
      <c r="AZ742" s="2"/>
      <c r="BC742"/>
    </row>
    <row r="743" spans="1:55" hidden="1" x14ac:dyDescent="0.25">
      <c r="A743" s="12" t="str">
        <f ca="1">IF(F743+G743+H743+I743+J743+D743+E743=3,IF(Tabelle2[[#This Row],[Kappe Weiß]]=Limits!$R$29,1,""),"")</f>
        <v/>
      </c>
      <c r="B743" s="282" t="str">
        <f ca="1">IF(G743+H743+I743+J743+E743+F743=2,IF(Tabelle2[[#This Row],[Kappe Weiß]]=Limits!$R$29,1,""),"")</f>
        <v/>
      </c>
      <c r="C743" s="291">
        <v>1</v>
      </c>
      <c r="D743" s="171">
        <f>IF(Limits!$P$5=TRUE,1,0)</f>
        <v>0</v>
      </c>
      <c r="E743" s="172">
        <f>IF(Daten!$P743+Daten!$Q743+Daten!$S743=3,1,0)</f>
        <v>0</v>
      </c>
      <c r="F743" s="173">
        <f ca="1">IF(AND(Limits!$Q$21=TRUE,Daten!O743=1)=TRUE,1,0)</f>
        <v>1</v>
      </c>
      <c r="G743" s="174">
        <f ca="1">IF(AND(Limits!$Q$25=TRUE,Daten!N743=1)=TRUE,1,0)</f>
        <v>0</v>
      </c>
      <c r="H743" s="174">
        <f ca="1">IF(AND(Limits!$Q$24=TRUE,Daten!M743=1)=TRUE,1,0)</f>
        <v>0</v>
      </c>
      <c r="I743" s="174">
        <f ca="1">IF(AND(Limits!$Q$23=TRUE,Daten!L743=1)=TRUE,1,0)</f>
        <v>0</v>
      </c>
      <c r="J743" s="174">
        <f ca="1">IF(AND(Limits!$Q$22=TRUE,Daten!K743=1)=TRUE,1,0)</f>
        <v>0</v>
      </c>
      <c r="K743" s="188">
        <f ca="1">IF(Daten!$V743=13,1,0)</f>
        <v>0</v>
      </c>
      <c r="L743" s="189">
        <f ca="1">IF(Daten!$V743&lt;&gt;Daten!$W743,1,IF(Daten!$V743=14,1,0))</f>
        <v>0</v>
      </c>
      <c r="M743" s="189">
        <f ca="1">IF(Daten!$V743&lt;&gt;Daten!$W743,1,IF(Daten!$V743=16,1,0))</f>
        <v>0</v>
      </c>
      <c r="N743" s="189">
        <f ca="1">IF(Daten!$W743=17,1,0)</f>
        <v>0</v>
      </c>
      <c r="O743" s="190">
        <f ca="1">IF(Daten!$X743=Sprache!$A$70,1,0)</f>
        <v>1</v>
      </c>
      <c r="P743" s="191">
        <f>IF(AND(Daten!$AQ743&lt;=KINVARO!$AW$3,Daten!$AR743&gt;=KINVARO!$AW$3)=TRUE,1,0)</f>
        <v>1</v>
      </c>
      <c r="Q743" s="192">
        <f>IF(AND(Daten!$AA743&lt;=KINVARO!$AW$4,Daten!$AB743&gt;=KINVARO!$AW$4)=TRUE,1,0)</f>
        <v>0</v>
      </c>
      <c r="R743" s="192"/>
      <c r="S743" s="192">
        <f>IF(AND(Daten!$AD743&lt;=Limits!$I$70,Daten!$AE743&gt;=Limits!$I$70)=TRUE,1,0)</f>
        <v>1</v>
      </c>
      <c r="T743" s="193">
        <f ca="1">IF(Daten!$Y743=Sprache!$A$135,1,0)</f>
        <v>0</v>
      </c>
      <c r="U743" s="124" t="str">
        <f ca="1">Sprache!$A$69</f>
        <v>S-35 Откидной подъемник</v>
      </c>
      <c r="V743" s="194" t="str">
        <f ca="1">Sprache!$A$74</f>
        <v>var</v>
      </c>
      <c r="W743" s="193" t="str">
        <f ca="1">Sprache!$A$74</f>
        <v>var</v>
      </c>
      <c r="X743" s="187" t="str">
        <f ca="1">Sprache!$A$70</f>
        <v>соединение с древесиной</v>
      </c>
      <c r="Y743" s="187" t="str">
        <f ca="1">Sprache!$A$136</f>
        <v>nein</v>
      </c>
      <c r="Z743" s="187" t="str">
        <f ca="1">Sprache!$A$79</f>
        <v>Створка</v>
      </c>
      <c r="AA743" s="187">
        <v>420</v>
      </c>
      <c r="AB743" s="124">
        <v>449</v>
      </c>
      <c r="AC743" s="187"/>
      <c r="AD743" s="195">
        <v>5</v>
      </c>
      <c r="AE743" s="196">
        <v>11</v>
      </c>
      <c r="AF743" s="263" t="str">
        <f>MID(Tabelle2[[#This Row],[bnr full]],1,4)</f>
        <v>F152</v>
      </c>
      <c r="AG743" s="264" t="str">
        <f>MID(Tabelle2[[#This Row],[bnr full]],5,3)</f>
        <v>000</v>
      </c>
      <c r="AH743" s="265" t="str">
        <f>MID(Tabelle2[[#This Row],[bnr full]],8,3)</f>
        <v>256</v>
      </c>
      <c r="AI743" s="283" t="str">
        <f>MID(Tabelle2[[#This Row],[bnr full]],11,3)</f>
        <v>201</v>
      </c>
      <c r="AJ743" s="247" t="str">
        <f>MID(Tabelle2[[#This Row],[bnr full]],11,3)</f>
        <v>201</v>
      </c>
      <c r="AK743" s="284" t="s">
        <v>810</v>
      </c>
      <c r="AL743" s="187" t="str">
        <f ca="1">Sprache!$A$111</f>
        <v>Комплект (Л + П)</v>
      </c>
      <c r="AM743" s="187" t="s">
        <v>25</v>
      </c>
      <c r="AN743" s="187" t="str">
        <f ca="1">Sprache!$A$121</f>
        <v>Силовой механизм B</v>
      </c>
      <c r="AO743" s="187" t="s">
        <v>25</v>
      </c>
      <c r="AP743" s="187" t="s">
        <v>25</v>
      </c>
      <c r="AQ743" s="187">
        <v>450</v>
      </c>
      <c r="AR743" s="124">
        <v>1200</v>
      </c>
      <c r="AS743" s="187"/>
      <c r="AT743" s="124"/>
      <c r="AV743"/>
      <c r="AX743" s="10"/>
      <c r="AY743" s="11"/>
      <c r="AZ743" s="2"/>
      <c r="BC743"/>
    </row>
    <row r="744" spans="1:55" hidden="1" x14ac:dyDescent="0.25">
      <c r="A744" s="12" t="str">
        <f ca="1">IF(F744+G744+H744+I744+J744+D744+E744=3,IF(Tabelle2[[#This Row],[Kappe Weiß]]=Limits!$R$29,1,""),"")</f>
        <v/>
      </c>
      <c r="B744" s="282" t="str">
        <f ca="1">IF(G744+H744+I744+J744+E744+F744=2,IF(Tabelle2[[#This Row],[Kappe Weiß]]=Limits!$R$29,1,""),"")</f>
        <v/>
      </c>
      <c r="C744" s="291">
        <v>1</v>
      </c>
      <c r="D744" s="171">
        <f>IF(Limits!$P$5=TRUE,1,0)</f>
        <v>0</v>
      </c>
      <c r="E744" s="172">
        <f>IF(Daten!$P744+Daten!$Q744+Daten!$S744=3,1,0)</f>
        <v>0</v>
      </c>
      <c r="F744" s="173">
        <f ca="1">IF(AND(Limits!$Q$21=TRUE,Daten!O744=1)=TRUE,1,0)</f>
        <v>0</v>
      </c>
      <c r="G744" s="174">
        <f>IF(AND(Limits!$Q$25=TRUE,Daten!N744=1)=TRUE,1,0)</f>
        <v>0</v>
      </c>
      <c r="H744" s="174">
        <f>IF(AND(Limits!$Q$24=TRUE,Daten!M744=1)=TRUE,1,0)</f>
        <v>0</v>
      </c>
      <c r="I744" s="174">
        <f>IF(AND(Limits!$Q$23=TRUE,Daten!L744=1)=TRUE,1,0)</f>
        <v>0</v>
      </c>
      <c r="J744" s="174">
        <f>IF(AND(Limits!$Q$22=TRUE,Daten!K744=1)=TRUE,1,0)</f>
        <v>0</v>
      </c>
      <c r="K744" s="188">
        <f>IF(Daten!$V744=13,1,0)</f>
        <v>1</v>
      </c>
      <c r="L744" s="189">
        <f>IF(Daten!$V744&lt;&gt;Daten!$W744,1,IF(Daten!$V744=14,1,0))</f>
        <v>1</v>
      </c>
      <c r="M744" s="189">
        <f>IF(Daten!$V744&lt;&gt;Daten!$W744,1,IF(Daten!$V744=16,1,0))</f>
        <v>1</v>
      </c>
      <c r="N744" s="189">
        <f>IF(Daten!$W744=17,1,0)</f>
        <v>1</v>
      </c>
      <c r="O744" s="190">
        <f ca="1">IF(Daten!$X744=Sprache!$A$70,1,0)</f>
        <v>0</v>
      </c>
      <c r="P744" s="191">
        <f>IF(AND(Daten!$AQ744&lt;=KINVARO!$AW$3,Daten!$AR744&gt;=KINVARO!$AW$3)=TRUE,1,0)</f>
        <v>1</v>
      </c>
      <c r="Q744" s="192">
        <f>IF(AND(Daten!$AA744&lt;=KINVARO!$AW$4,Daten!$AB744&gt;=KINVARO!$AW$4)=TRUE,1,0)</f>
        <v>0</v>
      </c>
      <c r="R744" s="192"/>
      <c r="S744" s="192">
        <f>IF(AND(Daten!$AD744&lt;=Limits!$I$70,Daten!$AE744&gt;=Limits!$I$70)=TRUE,1,0)</f>
        <v>0</v>
      </c>
      <c r="T744" s="193">
        <f ca="1">IF(Daten!$Y744=Sprache!$A$135,1,0)</f>
        <v>0</v>
      </c>
      <c r="U744" s="124" t="str">
        <f ca="1">Sprache!$A$69</f>
        <v>S-35 Откидной подъемник</v>
      </c>
      <c r="V744" s="194">
        <v>13</v>
      </c>
      <c r="W744" s="193">
        <v>17</v>
      </c>
      <c r="X744" s="187" t="str">
        <f ca="1">Sprache!$A$142</f>
        <v>Alu (Rahmen 19mm)</v>
      </c>
      <c r="Y744" s="187" t="str">
        <f ca="1">Sprache!$A$136</f>
        <v>nein</v>
      </c>
      <c r="Z744" s="187" t="str">
        <f ca="1">Sprache!$A$79</f>
        <v>Створка</v>
      </c>
      <c r="AA744" s="187">
        <v>420</v>
      </c>
      <c r="AB744" s="124">
        <v>449</v>
      </c>
      <c r="AC744" s="187"/>
      <c r="AD744" s="195">
        <v>1.5</v>
      </c>
      <c r="AE744" s="196">
        <v>7.5</v>
      </c>
      <c r="AF744" s="263" t="str">
        <f>MID(Tabelle2[[#This Row],[bnr full]],1,4)</f>
        <v>F152</v>
      </c>
      <c r="AG744" s="264" t="str">
        <f>MID(Tabelle2[[#This Row],[bnr full]],5,3)</f>
        <v>000</v>
      </c>
      <c r="AH744" s="265" t="str">
        <f>MID(Tabelle2[[#This Row],[bnr full]],8,3)</f>
        <v>255</v>
      </c>
      <c r="AI744" s="283" t="str">
        <f>MID(Tabelle2[[#This Row],[bnr full]],11,3)</f>
        <v>201</v>
      </c>
      <c r="AJ744" s="247" t="str">
        <f>MID(Tabelle2[[#This Row],[bnr full]],11,3)</f>
        <v>201</v>
      </c>
      <c r="AK744" s="284" t="s">
        <v>809</v>
      </c>
      <c r="AL744" s="187" t="str">
        <f ca="1">Sprache!$A$111</f>
        <v>Комплект (Л + П)</v>
      </c>
      <c r="AM744" s="187" t="s">
        <v>25</v>
      </c>
      <c r="AN744" s="187" t="str">
        <f ca="1">Sprache!$A$120</f>
        <v>Силовой механизм A</v>
      </c>
      <c r="AO744" s="187" t="str">
        <f ca="1">Sprache!$A$147</f>
        <v>Адаптер под алюминиевые рамки к комплекту Kinvaro S-35</v>
      </c>
      <c r="AP744" s="187" t="s">
        <v>822</v>
      </c>
      <c r="AQ744" s="187">
        <v>450</v>
      </c>
      <c r="AR744" s="124">
        <v>1200</v>
      </c>
      <c r="AS744" s="187"/>
      <c r="AT744" s="124"/>
      <c r="AV744"/>
      <c r="AX744" s="10"/>
      <c r="AY744" s="11"/>
      <c r="AZ744" s="2"/>
      <c r="BC744"/>
    </row>
    <row r="745" spans="1:55" hidden="1" x14ac:dyDescent="0.25">
      <c r="A745" s="12" t="str">
        <f ca="1">IF(F745+G745+H745+I745+J745+D745+E745=3,IF(Tabelle2[[#This Row],[Kappe Weiß]]=Limits!$R$29,1,""),"")</f>
        <v/>
      </c>
      <c r="B745" s="282" t="str">
        <f ca="1">IF(G745+H745+I745+J745+E745+F745=2,IF(Tabelle2[[#This Row],[Kappe Weiß]]=Limits!$R$29,1,""),"")</f>
        <v/>
      </c>
      <c r="C745" s="291">
        <v>1</v>
      </c>
      <c r="D745" s="171">
        <f>IF(Limits!$P$5=TRUE,1,0)</f>
        <v>0</v>
      </c>
      <c r="E745" s="172">
        <f>IF(Daten!$P745+Daten!$Q745+Daten!$S745=3,1,0)</f>
        <v>0</v>
      </c>
      <c r="F745" s="173">
        <f ca="1">IF(AND(Limits!$Q$21=TRUE,Daten!O745=1)=TRUE,1,0)</f>
        <v>0</v>
      </c>
      <c r="G745" s="174">
        <f>IF(AND(Limits!$Q$25=TRUE,Daten!N745=1)=TRUE,1,0)</f>
        <v>0</v>
      </c>
      <c r="H745" s="174">
        <f>IF(AND(Limits!$Q$24=TRUE,Daten!M745=1)=TRUE,1,0)</f>
        <v>0</v>
      </c>
      <c r="I745" s="174">
        <f>IF(AND(Limits!$Q$23=TRUE,Daten!L745=1)=TRUE,1,0)</f>
        <v>0</v>
      </c>
      <c r="J745" s="174">
        <f>IF(AND(Limits!$Q$22=TRUE,Daten!K745=1)=TRUE,1,0)</f>
        <v>0</v>
      </c>
      <c r="K745" s="188">
        <f>IF(Daten!$V745=13,1,0)</f>
        <v>1</v>
      </c>
      <c r="L745" s="189">
        <f>IF(Daten!$V745&lt;&gt;Daten!$W745,1,IF(Daten!$V745=14,1,0))</f>
        <v>1</v>
      </c>
      <c r="M745" s="189">
        <f>IF(Daten!$V745&lt;&gt;Daten!$W745,1,IF(Daten!$V745=16,1,0))</f>
        <v>1</v>
      </c>
      <c r="N745" s="189">
        <f>IF(Daten!$W745=17,1,0)</f>
        <v>1</v>
      </c>
      <c r="O745" s="190">
        <f ca="1">IF(Daten!$X745=Sprache!$A$70,1,0)</f>
        <v>0</v>
      </c>
      <c r="P745" s="191">
        <f>IF(AND(Daten!$AQ745&lt;=KINVARO!$AW$3,Daten!$AR745&gt;=KINVARO!$AW$3)=TRUE,1,0)</f>
        <v>1</v>
      </c>
      <c r="Q745" s="192">
        <f>IF(AND(Daten!$AA745&lt;=KINVARO!$AW$4,Daten!$AB745&gt;=KINVARO!$AW$4)=TRUE,1,0)</f>
        <v>0</v>
      </c>
      <c r="R745" s="192"/>
      <c r="S745" s="192">
        <f>IF(AND(Daten!$AD745&lt;=Limits!$I$70,Daten!$AE745&gt;=Limits!$I$70)=TRUE,1,0)</f>
        <v>1</v>
      </c>
      <c r="T745" s="193">
        <f ca="1">IF(Daten!$Y745=Sprache!$A$135,1,0)</f>
        <v>0</v>
      </c>
      <c r="U745" s="124" t="str">
        <f ca="1">Sprache!$A$69</f>
        <v>S-35 Откидной подъемник</v>
      </c>
      <c r="V745" s="194">
        <v>13</v>
      </c>
      <c r="W745" s="193">
        <v>17</v>
      </c>
      <c r="X745" s="187" t="str">
        <f ca="1">Sprache!$A$142</f>
        <v>Alu (Rahmen 19mm)</v>
      </c>
      <c r="Y745" s="187" t="str">
        <f ca="1">Sprache!$A$136</f>
        <v>nein</v>
      </c>
      <c r="Z745" s="187" t="str">
        <f ca="1">Sprache!$A$79</f>
        <v>Створка</v>
      </c>
      <c r="AA745" s="187">
        <v>420</v>
      </c>
      <c r="AB745" s="124">
        <v>449</v>
      </c>
      <c r="AC745" s="187"/>
      <c r="AD745" s="195">
        <v>5</v>
      </c>
      <c r="AE745" s="196">
        <v>11</v>
      </c>
      <c r="AF745" s="263" t="str">
        <f>MID(Tabelle2[[#This Row],[bnr full]],1,4)</f>
        <v>F152</v>
      </c>
      <c r="AG745" s="264" t="str">
        <f>MID(Tabelle2[[#This Row],[bnr full]],5,3)</f>
        <v>000</v>
      </c>
      <c r="AH745" s="265" t="str">
        <f>MID(Tabelle2[[#This Row],[bnr full]],8,3)</f>
        <v>256</v>
      </c>
      <c r="AI745" s="283" t="str">
        <f>MID(Tabelle2[[#This Row],[bnr full]],11,3)</f>
        <v>201</v>
      </c>
      <c r="AJ745" s="247" t="str">
        <f>MID(Tabelle2[[#This Row],[bnr full]],11,3)</f>
        <v>201</v>
      </c>
      <c r="AK745" s="284" t="s">
        <v>810</v>
      </c>
      <c r="AL745" s="187" t="str">
        <f ca="1">Sprache!$A$111</f>
        <v>Комплект (Л + П)</v>
      </c>
      <c r="AM745" s="187" t="s">
        <v>25</v>
      </c>
      <c r="AN745" s="187" t="str">
        <f ca="1">Sprache!$A$121</f>
        <v>Силовой механизм B</v>
      </c>
      <c r="AO745" s="187" t="str">
        <f ca="1">Sprache!$A$147</f>
        <v>Адаптер под алюминиевые рамки к комплекту Kinvaro S-35</v>
      </c>
      <c r="AP745" s="187" t="s">
        <v>814</v>
      </c>
      <c r="AQ745" s="187">
        <v>450</v>
      </c>
      <c r="AR745" s="124">
        <v>1200</v>
      </c>
      <c r="AS745" s="187"/>
      <c r="AT745" s="124"/>
      <c r="AV745"/>
      <c r="AX745" s="10"/>
      <c r="AY745" s="11"/>
      <c r="AZ745" s="2"/>
      <c r="BC745"/>
    </row>
    <row r="746" spans="1:55" hidden="1" x14ac:dyDescent="0.25">
      <c r="A746" s="12" t="str">
        <f ca="1">IF(F746+G746+H746+I746+J746+D746+E746=3,IF(Tabelle2[[#This Row],[Kappe Weiß]]=Limits!$R$29,1,""),"")</f>
        <v/>
      </c>
      <c r="B746" s="282" t="str">
        <f ca="1">IF(G746+H746+I746+J746+E746+F746=2,IF(Tabelle2[[#This Row],[Kappe Weiß]]=Limits!$R$29,1,""),"")</f>
        <v/>
      </c>
      <c r="C746" s="292">
        <v>1</v>
      </c>
      <c r="D746" s="171">
        <f>IF(Limits!$P$5=TRUE,1,0)</f>
        <v>0</v>
      </c>
      <c r="E746" s="172">
        <f>IF(Daten!$P746+Daten!$Q746+Daten!$S746=3,1,0)</f>
        <v>0</v>
      </c>
      <c r="F746" s="173">
        <f ca="1">IF(AND(Limits!$Q$21=TRUE,Daten!O746=1)=TRUE,1,0)</f>
        <v>1</v>
      </c>
      <c r="G746" s="174">
        <f ca="1">IF(AND(Limits!$Q$25=TRUE,Daten!N746=1)=TRUE,1,0)</f>
        <v>0</v>
      </c>
      <c r="H746" s="174">
        <f ca="1">IF(AND(Limits!$Q$24=TRUE,Daten!M746=1)=TRUE,1,0)</f>
        <v>0</v>
      </c>
      <c r="I746" s="174">
        <f ca="1">IF(AND(Limits!$Q$23=TRUE,Daten!L746=1)=TRUE,1,0)</f>
        <v>0</v>
      </c>
      <c r="J746" s="174">
        <f ca="1">IF(AND(Limits!$Q$22=TRUE,Daten!K746=1)=TRUE,1,0)</f>
        <v>0</v>
      </c>
      <c r="K746" s="188">
        <f ca="1">IF(Daten!$V746=13,1,0)</f>
        <v>0</v>
      </c>
      <c r="L746" s="189">
        <f ca="1">IF(Daten!$V746&lt;&gt;Daten!$W746,1,IF(Daten!$V746=14,1,0))</f>
        <v>0</v>
      </c>
      <c r="M746" s="189">
        <f ca="1">IF(Daten!$V746&lt;&gt;Daten!$W746,1,IF(Daten!$V746=16,1,0))</f>
        <v>0</v>
      </c>
      <c r="N746" s="189">
        <f ca="1">IF(Daten!$W746=17,1,0)</f>
        <v>0</v>
      </c>
      <c r="O746" s="190">
        <f ca="1">IF(Daten!$X746=Sprache!$A$70,1,0)</f>
        <v>1</v>
      </c>
      <c r="P746" s="198">
        <f>IF(AND(Daten!$AQ746&lt;=KINVARO!$AW$3,Daten!$AR746&gt;=KINVARO!$AW$3)=TRUE,1,0)</f>
        <v>1</v>
      </c>
      <c r="Q746" s="199">
        <f>IF(AND(Daten!$AA746&lt;=KINVARO!$AW$4,Daten!$AB746&gt;=KINVARO!$AW$4)=TRUE,1,0)</f>
        <v>0</v>
      </c>
      <c r="R746" s="199"/>
      <c r="S746" s="199">
        <f>IF(AND(Daten!$AD746&lt;=Limits!$I$70,Daten!$AE746&gt;=Limits!$I$70)=TRUE,1,0)</f>
        <v>0</v>
      </c>
      <c r="T746" s="200">
        <f ca="1">IF(Daten!$Y746=Sprache!$A$135,1,0)</f>
        <v>0</v>
      </c>
      <c r="U746" s="201" t="str">
        <f ca="1">Sprache!$A$69</f>
        <v>S-35 Откидной подъемник</v>
      </c>
      <c r="V746" s="194" t="str">
        <f ca="1">Sprache!$A$74</f>
        <v>var</v>
      </c>
      <c r="W746" s="200" t="str">
        <f ca="1">Sprache!$A$74</f>
        <v>var</v>
      </c>
      <c r="X746" s="187" t="str">
        <f ca="1">Sprache!$A$70</f>
        <v>соединение с древесиной</v>
      </c>
      <c r="Y746" s="187" t="str">
        <f ca="1">Sprache!$A$136</f>
        <v>nein</v>
      </c>
      <c r="Z746" s="187" t="str">
        <f ca="1">Sprache!$A$79</f>
        <v>Створка</v>
      </c>
      <c r="AA746" s="187">
        <v>450</v>
      </c>
      <c r="AB746" s="201">
        <v>479</v>
      </c>
      <c r="AC746" s="187"/>
      <c r="AD746" s="195">
        <v>1.8</v>
      </c>
      <c r="AE746" s="205">
        <v>7.5</v>
      </c>
      <c r="AF746" s="263" t="str">
        <f>MID(Tabelle2[[#This Row],[bnr full]],1,4)</f>
        <v>F152</v>
      </c>
      <c r="AG746" s="267" t="str">
        <f>MID(Tabelle2[[#This Row],[bnr full]],5,3)</f>
        <v>000</v>
      </c>
      <c r="AH746" s="268" t="str">
        <f>MID(Tabelle2[[#This Row],[bnr full]],8,3)</f>
        <v>255</v>
      </c>
      <c r="AI746" s="286" t="str">
        <f>MID(Tabelle2[[#This Row],[bnr full]],11,3)</f>
        <v>201</v>
      </c>
      <c r="AJ746" s="248" t="str">
        <f>MID(Tabelle2[[#This Row],[bnr full]],11,3)</f>
        <v>201</v>
      </c>
      <c r="AK746" s="284" t="s">
        <v>809</v>
      </c>
      <c r="AL746" s="187" t="str">
        <f ca="1">Sprache!$A$111</f>
        <v>Комплект (Л + П)</v>
      </c>
      <c r="AM746" s="187" t="s">
        <v>25</v>
      </c>
      <c r="AN746" s="187" t="str">
        <f ca="1">Sprache!$A$120</f>
        <v>Силовой механизм A</v>
      </c>
      <c r="AO746" s="187" t="s">
        <v>25</v>
      </c>
      <c r="AP746" s="187" t="s">
        <v>25</v>
      </c>
      <c r="AQ746" s="187">
        <v>450</v>
      </c>
      <c r="AR746" s="201">
        <v>1200</v>
      </c>
      <c r="AS746" s="187"/>
      <c r="AT746" s="124"/>
      <c r="AV746"/>
      <c r="AX746" s="10"/>
      <c r="AY746" s="11"/>
      <c r="AZ746" s="2"/>
      <c r="BC746"/>
    </row>
    <row r="747" spans="1:55" hidden="1" x14ac:dyDescent="0.25">
      <c r="A747" s="12" t="str">
        <f ca="1">IF(F747+G747+H747+I747+J747+D747+E747=3,IF(Tabelle2[[#This Row],[Kappe Weiß]]=Limits!$R$29,1,""),"")</f>
        <v/>
      </c>
      <c r="B747" s="282" t="str">
        <f ca="1">IF(G747+H747+I747+J747+E747+F747=2,IF(Tabelle2[[#This Row],[Kappe Weiß]]=Limits!$R$29,1,""),"")</f>
        <v/>
      </c>
      <c r="C747" s="291">
        <v>1</v>
      </c>
      <c r="D747" s="171">
        <f>IF(Limits!$P$5=TRUE,1,0)</f>
        <v>0</v>
      </c>
      <c r="E747" s="172">
        <f>IF(Daten!$P747+Daten!$Q747+Daten!$S747=3,1,0)</f>
        <v>0</v>
      </c>
      <c r="F747" s="173">
        <f ca="1">IF(AND(Limits!$Q$21=TRUE,Daten!O747=1)=TRUE,1,0)</f>
        <v>1</v>
      </c>
      <c r="G747" s="174">
        <f ca="1">IF(AND(Limits!$Q$25=TRUE,Daten!N747=1)=TRUE,1,0)</f>
        <v>0</v>
      </c>
      <c r="H747" s="174">
        <f ca="1">IF(AND(Limits!$Q$24=TRUE,Daten!M747=1)=TRUE,1,0)</f>
        <v>0</v>
      </c>
      <c r="I747" s="174">
        <f ca="1">IF(AND(Limits!$Q$23=TRUE,Daten!L747=1)=TRUE,1,0)</f>
        <v>0</v>
      </c>
      <c r="J747" s="174">
        <f ca="1">IF(AND(Limits!$Q$22=TRUE,Daten!K747=1)=TRUE,1,0)</f>
        <v>0</v>
      </c>
      <c r="K747" s="188">
        <f ca="1">IF(Daten!$V747=13,1,0)</f>
        <v>0</v>
      </c>
      <c r="L747" s="189">
        <f ca="1">IF(Daten!$V747&lt;&gt;Daten!$W747,1,IF(Daten!$V747=14,1,0))</f>
        <v>0</v>
      </c>
      <c r="M747" s="189">
        <f ca="1">IF(Daten!$V747&lt;&gt;Daten!$W747,1,IF(Daten!$V747=16,1,0))</f>
        <v>0</v>
      </c>
      <c r="N747" s="189">
        <f ca="1">IF(Daten!$W747=17,1,0)</f>
        <v>0</v>
      </c>
      <c r="O747" s="190">
        <f ca="1">IF(Daten!$X747=Sprache!$A$70,1,0)</f>
        <v>1</v>
      </c>
      <c r="P747" s="191">
        <f>IF(AND(Daten!$AQ747&lt;=KINVARO!$AW$3,Daten!$AR747&gt;=KINVARO!$AW$3)=TRUE,1,0)</f>
        <v>1</v>
      </c>
      <c r="Q747" s="192">
        <f>IF(AND(Daten!$AA747&lt;=KINVARO!$AW$4,Daten!$AB747&gt;=KINVARO!$AW$4)=TRUE,1,0)</f>
        <v>0</v>
      </c>
      <c r="R747" s="192"/>
      <c r="S747" s="192">
        <f>IF(AND(Daten!$AD747&lt;=Limits!$I$70,Daten!$AE747&gt;=Limits!$I$70)=TRUE,1,0)</f>
        <v>1</v>
      </c>
      <c r="T747" s="193">
        <f ca="1">IF(Daten!$Y747=Sprache!$A$135,1,0)</f>
        <v>0</v>
      </c>
      <c r="U747" s="124" t="str">
        <f ca="1">Sprache!$A$69</f>
        <v>S-35 Откидной подъемник</v>
      </c>
      <c r="V747" s="194" t="str">
        <f ca="1">Sprache!$A$74</f>
        <v>var</v>
      </c>
      <c r="W747" s="193" t="str">
        <f ca="1">Sprache!$A$74</f>
        <v>var</v>
      </c>
      <c r="X747" s="187" t="str">
        <f ca="1">Sprache!$A$70</f>
        <v>соединение с древесиной</v>
      </c>
      <c r="Y747" s="187" t="str">
        <f ca="1">Sprache!$A$136</f>
        <v>nein</v>
      </c>
      <c r="Z747" s="187" t="str">
        <f ca="1">Sprache!$A$79</f>
        <v>Створка</v>
      </c>
      <c r="AA747" s="187">
        <v>450</v>
      </c>
      <c r="AB747" s="124">
        <v>479</v>
      </c>
      <c r="AC747" s="187"/>
      <c r="AD747" s="195">
        <v>5</v>
      </c>
      <c r="AE747" s="196">
        <v>12</v>
      </c>
      <c r="AF747" s="263" t="str">
        <f>MID(Tabelle2[[#This Row],[bnr full]],1,4)</f>
        <v>F152</v>
      </c>
      <c r="AG747" s="264" t="str">
        <f>MID(Tabelle2[[#This Row],[bnr full]],5,3)</f>
        <v>000</v>
      </c>
      <c r="AH747" s="265" t="str">
        <f>MID(Tabelle2[[#This Row],[bnr full]],8,3)</f>
        <v>256</v>
      </c>
      <c r="AI747" s="283" t="str">
        <f>MID(Tabelle2[[#This Row],[bnr full]],11,3)</f>
        <v>201</v>
      </c>
      <c r="AJ747" s="247" t="str">
        <f>MID(Tabelle2[[#This Row],[bnr full]],11,3)</f>
        <v>201</v>
      </c>
      <c r="AK747" s="284" t="s">
        <v>810</v>
      </c>
      <c r="AL747" s="187" t="str">
        <f ca="1">Sprache!$A$111</f>
        <v>Комплект (Л + П)</v>
      </c>
      <c r="AM747" s="187" t="s">
        <v>25</v>
      </c>
      <c r="AN747" s="187" t="str">
        <f ca="1">Sprache!$A$121</f>
        <v>Силовой механизм B</v>
      </c>
      <c r="AO747" s="187" t="s">
        <v>25</v>
      </c>
      <c r="AP747" s="187" t="s">
        <v>25</v>
      </c>
      <c r="AQ747" s="187">
        <v>450</v>
      </c>
      <c r="AR747" s="124">
        <v>1200</v>
      </c>
      <c r="AS747" s="187"/>
      <c r="AT747" s="124"/>
      <c r="AV747"/>
      <c r="AX747" s="10"/>
      <c r="AY747" s="11"/>
      <c r="AZ747" s="2"/>
      <c r="BC747"/>
    </row>
    <row r="748" spans="1:55" hidden="1" x14ac:dyDescent="0.25">
      <c r="A748" s="12" t="str">
        <f ca="1">IF(F748+G748+H748+I748+J748+D748+E748=3,IF(Tabelle2[[#This Row],[Kappe Weiß]]=Limits!$R$29,1,""),"")</f>
        <v/>
      </c>
      <c r="B748" s="282" t="str">
        <f ca="1">IF(G748+H748+I748+J748+E748+F748=2,IF(Tabelle2[[#This Row],[Kappe Weiß]]=Limits!$R$29,1,""),"")</f>
        <v/>
      </c>
      <c r="C748" s="291">
        <v>1</v>
      </c>
      <c r="D748" s="171">
        <f>IF(Limits!$P$5=TRUE,1,0)</f>
        <v>0</v>
      </c>
      <c r="E748" s="172">
        <f>IF(Daten!$P748+Daten!$Q748+Daten!$S748=3,1,0)</f>
        <v>0</v>
      </c>
      <c r="F748" s="173">
        <f ca="1">IF(AND(Limits!$Q$21=TRUE,Daten!O748=1)=TRUE,1,0)</f>
        <v>0</v>
      </c>
      <c r="G748" s="174">
        <f>IF(AND(Limits!$Q$25=TRUE,Daten!N748=1)=TRUE,1,0)</f>
        <v>0</v>
      </c>
      <c r="H748" s="174">
        <f>IF(AND(Limits!$Q$24=TRUE,Daten!M748=1)=TRUE,1,0)</f>
        <v>0</v>
      </c>
      <c r="I748" s="174">
        <f>IF(AND(Limits!$Q$23=TRUE,Daten!L748=1)=TRUE,1,0)</f>
        <v>0</v>
      </c>
      <c r="J748" s="174">
        <f>IF(AND(Limits!$Q$22=TRUE,Daten!K748=1)=TRUE,1,0)</f>
        <v>0</v>
      </c>
      <c r="K748" s="188">
        <f>IF(Daten!$V748=13,1,0)</f>
        <v>1</v>
      </c>
      <c r="L748" s="189">
        <f>IF(Daten!$V748&lt;&gt;Daten!$W748,1,IF(Daten!$V748=14,1,0))</f>
        <v>1</v>
      </c>
      <c r="M748" s="189">
        <f>IF(Daten!$V748&lt;&gt;Daten!$W748,1,IF(Daten!$V748=16,1,0))</f>
        <v>1</v>
      </c>
      <c r="N748" s="189">
        <f>IF(Daten!$W748=17,1,0)</f>
        <v>1</v>
      </c>
      <c r="O748" s="190">
        <f ca="1">IF(Daten!$X748=Sprache!$A$70,1,0)</f>
        <v>0</v>
      </c>
      <c r="P748" s="191">
        <f>IF(AND(Daten!$AQ748&lt;=KINVARO!$AW$3,Daten!$AR748&gt;=KINVARO!$AW$3)=TRUE,1,0)</f>
        <v>1</v>
      </c>
      <c r="Q748" s="192">
        <f>IF(AND(Daten!$AA748&lt;=KINVARO!$AW$4,Daten!$AB748&gt;=KINVARO!$AW$4)=TRUE,1,0)</f>
        <v>0</v>
      </c>
      <c r="R748" s="192"/>
      <c r="S748" s="192">
        <f>IF(AND(Daten!$AD748&lt;=Limits!$I$70,Daten!$AE748&gt;=Limits!$I$70)=TRUE,1,0)</f>
        <v>0</v>
      </c>
      <c r="T748" s="193">
        <f ca="1">IF(Daten!$Y748=Sprache!$A$135,1,0)</f>
        <v>0</v>
      </c>
      <c r="U748" s="124" t="str">
        <f ca="1">Sprache!$A$69</f>
        <v>S-35 Откидной подъемник</v>
      </c>
      <c r="V748" s="194">
        <v>13</v>
      </c>
      <c r="W748" s="193">
        <v>17</v>
      </c>
      <c r="X748" s="187" t="str">
        <f ca="1">Sprache!$A$142</f>
        <v>Alu (Rahmen 19mm)</v>
      </c>
      <c r="Y748" s="187" t="str">
        <f ca="1">Sprache!$A$136</f>
        <v>nein</v>
      </c>
      <c r="Z748" s="187" t="str">
        <f ca="1">Sprache!$A$79</f>
        <v>Створка</v>
      </c>
      <c r="AA748" s="187">
        <v>450</v>
      </c>
      <c r="AB748" s="124">
        <v>479</v>
      </c>
      <c r="AC748" s="187"/>
      <c r="AD748" s="195">
        <v>1.8</v>
      </c>
      <c r="AE748" s="196">
        <v>7.5</v>
      </c>
      <c r="AF748" s="263" t="str">
        <f>MID(Tabelle2[[#This Row],[bnr full]],1,4)</f>
        <v>F152</v>
      </c>
      <c r="AG748" s="264" t="str">
        <f>MID(Tabelle2[[#This Row],[bnr full]],5,3)</f>
        <v>000</v>
      </c>
      <c r="AH748" s="265" t="str">
        <f>MID(Tabelle2[[#This Row],[bnr full]],8,3)</f>
        <v>255</v>
      </c>
      <c r="AI748" s="283" t="str">
        <f>MID(Tabelle2[[#This Row],[bnr full]],11,3)</f>
        <v>201</v>
      </c>
      <c r="AJ748" s="247" t="str">
        <f>MID(Tabelle2[[#This Row],[bnr full]],11,3)</f>
        <v>201</v>
      </c>
      <c r="AK748" s="284" t="s">
        <v>809</v>
      </c>
      <c r="AL748" s="187" t="str">
        <f ca="1">Sprache!$A$111</f>
        <v>Комплект (Л + П)</v>
      </c>
      <c r="AM748" s="187" t="s">
        <v>25</v>
      </c>
      <c r="AN748" s="187" t="str">
        <f ca="1">Sprache!$A$120</f>
        <v>Силовой механизм A</v>
      </c>
      <c r="AO748" s="187" t="str">
        <f ca="1">Sprache!$A$147</f>
        <v>Адаптер под алюминиевые рамки к комплекту Kinvaro S-35</v>
      </c>
      <c r="AP748" s="187" t="s">
        <v>814</v>
      </c>
      <c r="AQ748" s="187">
        <v>450</v>
      </c>
      <c r="AR748" s="124">
        <v>1200</v>
      </c>
      <c r="AS748" s="187"/>
      <c r="AT748" s="124"/>
      <c r="AV748"/>
      <c r="AX748" s="10"/>
      <c r="AY748" s="11"/>
      <c r="AZ748" s="2"/>
      <c r="BC748"/>
    </row>
    <row r="749" spans="1:55" hidden="1" x14ac:dyDescent="0.25">
      <c r="A749" s="12" t="str">
        <f ca="1">IF(F749+G749+H749+I749+J749+D749+E749=3,IF(Tabelle2[[#This Row],[Kappe Weiß]]=Limits!$R$29,1,""),"")</f>
        <v/>
      </c>
      <c r="B749" s="282" t="str">
        <f ca="1">IF(G749+H749+I749+J749+E749+F749=2,IF(Tabelle2[[#This Row],[Kappe Weiß]]=Limits!$R$29,1,""),"")</f>
        <v/>
      </c>
      <c r="C749" s="291">
        <v>1</v>
      </c>
      <c r="D749" s="171">
        <f>IF(Limits!$P$5=TRUE,1,0)</f>
        <v>0</v>
      </c>
      <c r="E749" s="172">
        <f>IF(Daten!$P749+Daten!$Q749+Daten!$S749=3,1,0)</f>
        <v>0</v>
      </c>
      <c r="F749" s="173">
        <f ca="1">IF(AND(Limits!$Q$21=TRUE,Daten!O749=1)=TRUE,1,0)</f>
        <v>0</v>
      </c>
      <c r="G749" s="174">
        <f>IF(AND(Limits!$Q$25=TRUE,Daten!N749=1)=TRUE,1,0)</f>
        <v>0</v>
      </c>
      <c r="H749" s="174">
        <f>IF(AND(Limits!$Q$24=TRUE,Daten!M749=1)=TRUE,1,0)</f>
        <v>0</v>
      </c>
      <c r="I749" s="174">
        <f>IF(AND(Limits!$Q$23=TRUE,Daten!L749=1)=TRUE,1,0)</f>
        <v>0</v>
      </c>
      <c r="J749" s="174">
        <f>IF(AND(Limits!$Q$22=TRUE,Daten!K749=1)=TRUE,1,0)</f>
        <v>0</v>
      </c>
      <c r="K749" s="188">
        <f>IF(Daten!$V749=13,1,0)</f>
        <v>1</v>
      </c>
      <c r="L749" s="189">
        <f>IF(Daten!$V749&lt;&gt;Daten!$W749,1,IF(Daten!$V749=14,1,0))</f>
        <v>1</v>
      </c>
      <c r="M749" s="189">
        <f>IF(Daten!$V749&lt;&gt;Daten!$W749,1,IF(Daten!$V749=16,1,0))</f>
        <v>1</v>
      </c>
      <c r="N749" s="189">
        <f>IF(Daten!$W749=17,1,0)</f>
        <v>1</v>
      </c>
      <c r="O749" s="190">
        <f ca="1">IF(Daten!$X749=Sprache!$A$70,1,0)</f>
        <v>0</v>
      </c>
      <c r="P749" s="191">
        <f>IF(AND(Daten!$AQ749&lt;=KINVARO!$AW$3,Daten!$AR749&gt;=KINVARO!$AW$3)=TRUE,1,0)</f>
        <v>1</v>
      </c>
      <c r="Q749" s="192">
        <f>IF(AND(Daten!$AA749&lt;=KINVARO!$AW$4,Daten!$AB749&gt;=KINVARO!$AW$4)=TRUE,1,0)</f>
        <v>0</v>
      </c>
      <c r="R749" s="192"/>
      <c r="S749" s="192">
        <f>IF(AND(Daten!$AD749&lt;=Limits!$I$70,Daten!$AE749&gt;=Limits!$I$70)=TRUE,1,0)</f>
        <v>1</v>
      </c>
      <c r="T749" s="193">
        <f ca="1">IF(Daten!$Y749=Sprache!$A$135,1,0)</f>
        <v>0</v>
      </c>
      <c r="U749" s="124" t="str">
        <f ca="1">Sprache!$A$69</f>
        <v>S-35 Откидной подъемник</v>
      </c>
      <c r="V749" s="194">
        <v>13</v>
      </c>
      <c r="W749" s="193">
        <v>17</v>
      </c>
      <c r="X749" s="187" t="str">
        <f ca="1">Sprache!$A$142</f>
        <v>Alu (Rahmen 19mm)</v>
      </c>
      <c r="Y749" s="187" t="str">
        <f ca="1">Sprache!$A$136</f>
        <v>nein</v>
      </c>
      <c r="Z749" s="187" t="str">
        <f ca="1">Sprache!$A$79</f>
        <v>Створка</v>
      </c>
      <c r="AA749" s="187">
        <v>450</v>
      </c>
      <c r="AB749" s="124">
        <v>479</v>
      </c>
      <c r="AC749" s="187"/>
      <c r="AD749" s="195">
        <v>5</v>
      </c>
      <c r="AE749" s="196">
        <v>12</v>
      </c>
      <c r="AF749" s="263" t="str">
        <f>MID(Tabelle2[[#This Row],[bnr full]],1,4)</f>
        <v>F152</v>
      </c>
      <c r="AG749" s="264" t="str">
        <f>MID(Tabelle2[[#This Row],[bnr full]],5,3)</f>
        <v>000</v>
      </c>
      <c r="AH749" s="265" t="str">
        <f>MID(Tabelle2[[#This Row],[bnr full]],8,3)</f>
        <v>256</v>
      </c>
      <c r="AI749" s="283" t="str">
        <f>MID(Tabelle2[[#This Row],[bnr full]],11,3)</f>
        <v>201</v>
      </c>
      <c r="AJ749" s="247" t="str">
        <f>MID(Tabelle2[[#This Row],[bnr full]],11,3)</f>
        <v>201</v>
      </c>
      <c r="AK749" s="284" t="s">
        <v>810</v>
      </c>
      <c r="AL749" s="187" t="str">
        <f ca="1">Sprache!$A$111</f>
        <v>Комплект (Л + П)</v>
      </c>
      <c r="AM749" s="187" t="s">
        <v>25</v>
      </c>
      <c r="AN749" s="187" t="str">
        <f ca="1">Sprache!$A$121</f>
        <v>Силовой механизм B</v>
      </c>
      <c r="AO749" s="187" t="str">
        <f ca="1">Sprache!$A$147</f>
        <v>Адаптер под алюминиевые рамки к комплекту Kinvaro S-35</v>
      </c>
      <c r="AP749" s="187" t="s">
        <v>814</v>
      </c>
      <c r="AQ749" s="187">
        <v>450</v>
      </c>
      <c r="AR749" s="124">
        <v>1200</v>
      </c>
      <c r="AS749" s="187"/>
      <c r="AT749" s="124"/>
      <c r="AV749"/>
      <c r="AX749" s="10"/>
      <c r="AY749" s="11"/>
      <c r="AZ749" s="2"/>
      <c r="BC749"/>
    </row>
    <row r="750" spans="1:55" hidden="1" x14ac:dyDescent="0.25">
      <c r="A750" s="12" t="str">
        <f ca="1">IF(F750+G750+H750+I750+J750+D750+E750=3,IF(Tabelle2[[#This Row],[Kappe Weiß]]=Limits!$R$29,1,""),"")</f>
        <v/>
      </c>
      <c r="B750" s="282" t="str">
        <f ca="1">IF(G750+H750+I750+J750+E750+F750=2,IF(Tabelle2[[#This Row],[Kappe Weiß]]=Limits!$R$29,1,""),"")</f>
        <v/>
      </c>
      <c r="C750" s="292">
        <v>1</v>
      </c>
      <c r="D750" s="171">
        <f>IF(Limits!$P$5=TRUE,1,0)</f>
        <v>0</v>
      </c>
      <c r="E750" s="172">
        <f>IF(Daten!$P750+Daten!$Q750+Daten!$S750=3,1,0)</f>
        <v>0</v>
      </c>
      <c r="F750" s="173">
        <f ca="1">IF(AND(Limits!$Q$21=TRUE,Daten!O750=1)=TRUE,1,0)</f>
        <v>1</v>
      </c>
      <c r="G750" s="174">
        <f ca="1">IF(AND(Limits!$Q$25=TRUE,Daten!N750=1)=TRUE,1,0)</f>
        <v>0</v>
      </c>
      <c r="H750" s="174">
        <f ca="1">IF(AND(Limits!$Q$24=TRUE,Daten!M750=1)=TRUE,1,0)</f>
        <v>0</v>
      </c>
      <c r="I750" s="174">
        <f ca="1">IF(AND(Limits!$Q$23=TRUE,Daten!L750=1)=TRUE,1,0)</f>
        <v>0</v>
      </c>
      <c r="J750" s="174">
        <f ca="1">IF(AND(Limits!$Q$22=TRUE,Daten!K750=1)=TRUE,1,0)</f>
        <v>0</v>
      </c>
      <c r="K750" s="188">
        <f ca="1">IF(Daten!$V750=13,1,0)</f>
        <v>0</v>
      </c>
      <c r="L750" s="189">
        <f ca="1">IF(Daten!$V750&lt;&gt;Daten!$W750,1,IF(Daten!$V750=14,1,0))</f>
        <v>0</v>
      </c>
      <c r="M750" s="189">
        <f ca="1">IF(Daten!$V750&lt;&gt;Daten!$W750,1,IF(Daten!$V750=16,1,0))</f>
        <v>0</v>
      </c>
      <c r="N750" s="189">
        <f ca="1">IF(Daten!$W750=17,1,0)</f>
        <v>0</v>
      </c>
      <c r="O750" s="190">
        <f ca="1">IF(Daten!$X750=Sprache!$A$70,1,0)</f>
        <v>1</v>
      </c>
      <c r="P750" s="198">
        <f>IF(AND(Daten!$AQ750&lt;=KINVARO!$AW$3,Daten!$AR750&gt;=KINVARO!$AW$3)=TRUE,1,0)</f>
        <v>1</v>
      </c>
      <c r="Q750" s="199">
        <f>IF(AND(Daten!$AA750&lt;=KINVARO!$AW$4,Daten!$AB750&gt;=KINVARO!$AW$4)=TRUE,1,0)</f>
        <v>0</v>
      </c>
      <c r="R750" s="199"/>
      <c r="S750" s="199">
        <f>IF(AND(Daten!$AD750&lt;=Limits!$I$70,Daten!$AE750&gt;=Limits!$I$70)=TRUE,1,0)</f>
        <v>0</v>
      </c>
      <c r="T750" s="200">
        <f ca="1">IF(Daten!$Y750=Sprache!$A$135,1,0)</f>
        <v>0</v>
      </c>
      <c r="U750" s="201" t="str">
        <f ca="1">Sprache!$A$69</f>
        <v>S-35 Откидной подъемник</v>
      </c>
      <c r="V750" s="194" t="str">
        <f ca="1">Sprache!$A$74</f>
        <v>var</v>
      </c>
      <c r="W750" s="200" t="str">
        <f ca="1">Sprache!$A$74</f>
        <v>var</v>
      </c>
      <c r="X750" s="187" t="str">
        <f ca="1">Sprache!$A$70</f>
        <v>соединение с древесиной</v>
      </c>
      <c r="Y750" s="187" t="str">
        <f ca="1">Sprache!$A$136</f>
        <v>nein</v>
      </c>
      <c r="Z750" s="187" t="str">
        <f ca="1">Sprache!$A$79</f>
        <v>Створка</v>
      </c>
      <c r="AA750" s="187">
        <v>480</v>
      </c>
      <c r="AB750" s="201">
        <v>509</v>
      </c>
      <c r="AC750" s="187"/>
      <c r="AD750" s="195">
        <v>1.8</v>
      </c>
      <c r="AE750" s="205">
        <v>6.5</v>
      </c>
      <c r="AF750" s="263" t="str">
        <f>MID(Tabelle2[[#This Row],[bnr full]],1,4)</f>
        <v>F152</v>
      </c>
      <c r="AG750" s="267" t="str">
        <f>MID(Tabelle2[[#This Row],[bnr full]],5,3)</f>
        <v>000</v>
      </c>
      <c r="AH750" s="268" t="str">
        <f>MID(Tabelle2[[#This Row],[bnr full]],8,3)</f>
        <v>255</v>
      </c>
      <c r="AI750" s="286" t="str">
        <f>MID(Tabelle2[[#This Row],[bnr full]],11,3)</f>
        <v>201</v>
      </c>
      <c r="AJ750" s="248" t="str">
        <f>MID(Tabelle2[[#This Row],[bnr full]],11,3)</f>
        <v>201</v>
      </c>
      <c r="AK750" s="284" t="s">
        <v>809</v>
      </c>
      <c r="AL750" s="187" t="str">
        <f ca="1">Sprache!$A$111</f>
        <v>Комплект (Л + П)</v>
      </c>
      <c r="AM750" s="187" t="s">
        <v>25</v>
      </c>
      <c r="AN750" s="187" t="str">
        <f ca="1">Sprache!$A$120</f>
        <v>Силовой механизм A</v>
      </c>
      <c r="AO750" s="187" t="s">
        <v>25</v>
      </c>
      <c r="AP750" s="187" t="s">
        <v>25</v>
      </c>
      <c r="AQ750" s="187">
        <v>450</v>
      </c>
      <c r="AR750" s="201">
        <v>1200</v>
      </c>
      <c r="AS750" s="187"/>
      <c r="AT750" s="124"/>
      <c r="AV750"/>
      <c r="AX750" s="10"/>
      <c r="AY750" s="11"/>
      <c r="AZ750" s="2"/>
      <c r="BC750"/>
    </row>
    <row r="751" spans="1:55" hidden="1" x14ac:dyDescent="0.25">
      <c r="A751" s="12" t="str">
        <f ca="1">IF(F751+G751+H751+I751+J751+D751+E751=3,IF(Tabelle2[[#This Row],[Kappe Weiß]]=Limits!$R$29,1,""),"")</f>
        <v/>
      </c>
      <c r="B751" s="282" t="str">
        <f ca="1">IF(G751+H751+I751+J751+E751+F751=2,IF(Tabelle2[[#This Row],[Kappe Weiß]]=Limits!$R$29,1,""),"")</f>
        <v/>
      </c>
      <c r="C751" s="291">
        <v>1</v>
      </c>
      <c r="D751" s="171">
        <f>IF(Limits!$P$5=TRUE,1,0)</f>
        <v>0</v>
      </c>
      <c r="E751" s="172">
        <f>IF(Daten!$P751+Daten!$Q751+Daten!$S751=3,1,0)</f>
        <v>0</v>
      </c>
      <c r="F751" s="173">
        <f ca="1">IF(AND(Limits!$Q$21=TRUE,Daten!O751=1)=TRUE,1,0)</f>
        <v>1</v>
      </c>
      <c r="G751" s="174">
        <f ca="1">IF(AND(Limits!$Q$25=TRUE,Daten!N751=1)=TRUE,1,0)</f>
        <v>0</v>
      </c>
      <c r="H751" s="174">
        <f ca="1">IF(AND(Limits!$Q$24=TRUE,Daten!M751=1)=TRUE,1,0)</f>
        <v>0</v>
      </c>
      <c r="I751" s="174">
        <f ca="1">IF(AND(Limits!$Q$23=TRUE,Daten!L751=1)=TRUE,1,0)</f>
        <v>0</v>
      </c>
      <c r="J751" s="174">
        <f ca="1">IF(AND(Limits!$Q$22=TRUE,Daten!K751=1)=TRUE,1,0)</f>
        <v>0</v>
      </c>
      <c r="K751" s="188">
        <f ca="1">IF(Daten!$V751=13,1,0)</f>
        <v>0</v>
      </c>
      <c r="L751" s="189">
        <f ca="1">IF(Daten!$V751&lt;&gt;Daten!$W751,1,IF(Daten!$V751=14,1,0))</f>
        <v>0</v>
      </c>
      <c r="M751" s="189">
        <f ca="1">IF(Daten!$V751&lt;&gt;Daten!$W751,1,IF(Daten!$V751=16,1,0))</f>
        <v>0</v>
      </c>
      <c r="N751" s="189">
        <f ca="1">IF(Daten!$W751=17,1,0)</f>
        <v>0</v>
      </c>
      <c r="O751" s="190">
        <f ca="1">IF(Daten!$X751=Sprache!$A$70,1,0)</f>
        <v>1</v>
      </c>
      <c r="P751" s="191">
        <f>IF(AND(Daten!$AQ751&lt;=KINVARO!$AW$3,Daten!$AR751&gt;=KINVARO!$AW$3)=TRUE,1,0)</f>
        <v>1</v>
      </c>
      <c r="Q751" s="192">
        <f>IF(AND(Daten!$AA751&lt;=KINVARO!$AW$4,Daten!$AB751&gt;=KINVARO!$AW$4)=TRUE,1,0)</f>
        <v>0</v>
      </c>
      <c r="R751" s="192"/>
      <c r="S751" s="192">
        <f>IF(AND(Daten!$AD751&lt;=Limits!$I$70,Daten!$AE751&gt;=Limits!$I$70)=TRUE,1,0)</f>
        <v>1</v>
      </c>
      <c r="T751" s="193">
        <f ca="1">IF(Daten!$Y751=Sprache!$A$135,1,0)</f>
        <v>0</v>
      </c>
      <c r="U751" s="124" t="str">
        <f ca="1">Sprache!$A$69</f>
        <v>S-35 Откидной подъемник</v>
      </c>
      <c r="V751" s="194" t="str">
        <f ca="1">Sprache!$A$74</f>
        <v>var</v>
      </c>
      <c r="W751" s="193" t="str">
        <f ca="1">Sprache!$A$74</f>
        <v>var</v>
      </c>
      <c r="X751" s="187" t="str">
        <f ca="1">Sprache!$A$70</f>
        <v>соединение с древесиной</v>
      </c>
      <c r="Y751" s="187" t="str">
        <f ca="1">Sprache!$A$136</f>
        <v>nein</v>
      </c>
      <c r="Z751" s="187" t="str">
        <f ca="1">Sprache!$A$79</f>
        <v>Створка</v>
      </c>
      <c r="AA751" s="187">
        <v>480</v>
      </c>
      <c r="AB751" s="124">
        <v>509</v>
      </c>
      <c r="AC751" s="187"/>
      <c r="AD751" s="195">
        <v>5</v>
      </c>
      <c r="AE751" s="196">
        <v>12.5</v>
      </c>
      <c r="AF751" s="263" t="str">
        <f>MID(Tabelle2[[#This Row],[bnr full]],1,4)</f>
        <v>F152</v>
      </c>
      <c r="AG751" s="264" t="str">
        <f>MID(Tabelle2[[#This Row],[bnr full]],5,3)</f>
        <v>000</v>
      </c>
      <c r="AH751" s="265" t="str">
        <f>MID(Tabelle2[[#This Row],[bnr full]],8,3)</f>
        <v>256</v>
      </c>
      <c r="AI751" s="283" t="str">
        <f>MID(Tabelle2[[#This Row],[bnr full]],11,3)</f>
        <v>201</v>
      </c>
      <c r="AJ751" s="247" t="str">
        <f>MID(Tabelle2[[#This Row],[bnr full]],11,3)</f>
        <v>201</v>
      </c>
      <c r="AK751" s="284" t="s">
        <v>810</v>
      </c>
      <c r="AL751" s="187" t="str">
        <f ca="1">Sprache!$A$111</f>
        <v>Комплект (Л + П)</v>
      </c>
      <c r="AM751" s="187" t="s">
        <v>25</v>
      </c>
      <c r="AN751" s="187" t="str">
        <f ca="1">Sprache!$A$121</f>
        <v>Силовой механизм B</v>
      </c>
      <c r="AO751" s="187" t="s">
        <v>25</v>
      </c>
      <c r="AP751" s="187" t="s">
        <v>25</v>
      </c>
      <c r="AQ751" s="187">
        <v>450</v>
      </c>
      <c r="AR751" s="124">
        <v>1200</v>
      </c>
      <c r="AS751" s="187"/>
      <c r="AT751" s="124"/>
      <c r="AV751"/>
      <c r="AX751" s="10"/>
      <c r="AY751" s="11"/>
      <c r="AZ751" s="2"/>
      <c r="BC751"/>
    </row>
    <row r="752" spans="1:55" hidden="1" x14ac:dyDescent="0.25">
      <c r="A752" s="12" t="str">
        <f ca="1">IF(F752+G752+H752+I752+J752+D752+E752=3,IF(Tabelle2[[#This Row],[Kappe Weiß]]=Limits!$R$29,1,""),"")</f>
        <v/>
      </c>
      <c r="B752" s="282" t="str">
        <f ca="1">IF(G752+H752+I752+J752+E752+F752=2,IF(Tabelle2[[#This Row],[Kappe Weiß]]=Limits!$R$29,1,""),"")</f>
        <v/>
      </c>
      <c r="C752" s="291">
        <v>1</v>
      </c>
      <c r="D752" s="171">
        <f>IF(Limits!$P$5=TRUE,1,0)</f>
        <v>0</v>
      </c>
      <c r="E752" s="172">
        <f>IF(Daten!$P752+Daten!$Q752+Daten!$S752=3,1,0)</f>
        <v>0</v>
      </c>
      <c r="F752" s="173">
        <f ca="1">IF(AND(Limits!$Q$21=TRUE,Daten!O752=1)=TRUE,1,0)</f>
        <v>0</v>
      </c>
      <c r="G752" s="174">
        <f>IF(AND(Limits!$Q$25=TRUE,Daten!N752=1)=TRUE,1,0)</f>
        <v>0</v>
      </c>
      <c r="H752" s="174">
        <f>IF(AND(Limits!$Q$24=TRUE,Daten!M752=1)=TRUE,1,0)</f>
        <v>0</v>
      </c>
      <c r="I752" s="174">
        <f>IF(AND(Limits!$Q$23=TRUE,Daten!L752=1)=TRUE,1,0)</f>
        <v>0</v>
      </c>
      <c r="J752" s="174">
        <f>IF(AND(Limits!$Q$22=TRUE,Daten!K752=1)=TRUE,1,0)</f>
        <v>0</v>
      </c>
      <c r="K752" s="188">
        <f>IF(Daten!$V752=13,1,0)</f>
        <v>1</v>
      </c>
      <c r="L752" s="189">
        <f>IF(Daten!$V752&lt;&gt;Daten!$W752,1,IF(Daten!$V752=14,1,0))</f>
        <v>1</v>
      </c>
      <c r="M752" s="189">
        <f>IF(Daten!$V752&lt;&gt;Daten!$W752,1,IF(Daten!$V752=16,1,0))</f>
        <v>1</v>
      </c>
      <c r="N752" s="189">
        <f>IF(Daten!$W752=17,1,0)</f>
        <v>1</v>
      </c>
      <c r="O752" s="190">
        <f ca="1">IF(Daten!$X752=Sprache!$A$70,1,0)</f>
        <v>0</v>
      </c>
      <c r="P752" s="191">
        <f>IF(AND(Daten!$AQ752&lt;=KINVARO!$AW$3,Daten!$AR752&gt;=KINVARO!$AW$3)=TRUE,1,0)</f>
        <v>1</v>
      </c>
      <c r="Q752" s="192">
        <f>IF(AND(Daten!$AA752&lt;=KINVARO!$AW$4,Daten!$AB752&gt;=KINVARO!$AW$4)=TRUE,1,0)</f>
        <v>0</v>
      </c>
      <c r="R752" s="192"/>
      <c r="S752" s="192">
        <f>IF(AND(Daten!$AD752&lt;=Limits!$I$70,Daten!$AE752&gt;=Limits!$I$70)=TRUE,1,0)</f>
        <v>0</v>
      </c>
      <c r="T752" s="193">
        <f ca="1">IF(Daten!$Y752=Sprache!$A$135,1,0)</f>
        <v>0</v>
      </c>
      <c r="U752" s="124" t="str">
        <f ca="1">Sprache!$A$69</f>
        <v>S-35 Откидной подъемник</v>
      </c>
      <c r="V752" s="194">
        <v>13</v>
      </c>
      <c r="W752" s="193">
        <v>17</v>
      </c>
      <c r="X752" s="187" t="str">
        <f ca="1">Sprache!$A$142</f>
        <v>Alu (Rahmen 19mm)</v>
      </c>
      <c r="Y752" s="187" t="str">
        <f ca="1">Sprache!$A$136</f>
        <v>nein</v>
      </c>
      <c r="Z752" s="187" t="str">
        <f ca="1">Sprache!$A$79</f>
        <v>Створка</v>
      </c>
      <c r="AA752" s="187">
        <v>480</v>
      </c>
      <c r="AB752" s="124">
        <v>509</v>
      </c>
      <c r="AC752" s="187"/>
      <c r="AD752" s="195">
        <v>1.8</v>
      </c>
      <c r="AE752" s="196">
        <v>6.5</v>
      </c>
      <c r="AF752" s="263" t="str">
        <f>MID(Tabelle2[[#This Row],[bnr full]],1,4)</f>
        <v>F152</v>
      </c>
      <c r="AG752" s="264" t="str">
        <f>MID(Tabelle2[[#This Row],[bnr full]],5,3)</f>
        <v>000</v>
      </c>
      <c r="AH752" s="265" t="str">
        <f>MID(Tabelle2[[#This Row],[bnr full]],8,3)</f>
        <v>255</v>
      </c>
      <c r="AI752" s="283" t="str">
        <f>MID(Tabelle2[[#This Row],[bnr full]],11,3)</f>
        <v>201</v>
      </c>
      <c r="AJ752" s="247" t="str">
        <f>MID(Tabelle2[[#This Row],[bnr full]],11,3)</f>
        <v>201</v>
      </c>
      <c r="AK752" s="284" t="s">
        <v>809</v>
      </c>
      <c r="AL752" s="187" t="str">
        <f ca="1">Sprache!$A$111</f>
        <v>Комплект (Л + П)</v>
      </c>
      <c r="AM752" s="187" t="s">
        <v>25</v>
      </c>
      <c r="AN752" s="187" t="str">
        <f ca="1">Sprache!$A$120</f>
        <v>Силовой механизм A</v>
      </c>
      <c r="AO752" s="187" t="str">
        <f ca="1">Sprache!$A$147</f>
        <v>Адаптер под алюминиевые рамки к комплекту Kinvaro S-35</v>
      </c>
      <c r="AP752" s="187" t="s">
        <v>814</v>
      </c>
      <c r="AQ752" s="187">
        <v>450</v>
      </c>
      <c r="AR752" s="124">
        <v>1200</v>
      </c>
      <c r="AS752" s="187"/>
      <c r="AT752" s="124"/>
      <c r="AV752"/>
      <c r="AX752" s="10"/>
      <c r="AY752" s="11"/>
      <c r="AZ752" s="2"/>
      <c r="BC752"/>
    </row>
    <row r="753" spans="1:55" hidden="1" x14ac:dyDescent="0.25">
      <c r="A753" s="12" t="str">
        <f ca="1">IF(F753+G753+H753+I753+J753+D753+E753=3,IF(Tabelle2[[#This Row],[Kappe Weiß]]=Limits!$R$29,1,""),"")</f>
        <v/>
      </c>
      <c r="B753" s="282" t="str">
        <f ca="1">IF(G753+H753+I753+J753+E753+F753=2,IF(Tabelle2[[#This Row],[Kappe Weiß]]=Limits!$R$29,1,""),"")</f>
        <v/>
      </c>
      <c r="C753" s="291">
        <v>1</v>
      </c>
      <c r="D753" s="171">
        <f>IF(Limits!$P$5=TRUE,1,0)</f>
        <v>0</v>
      </c>
      <c r="E753" s="172">
        <f>IF(Daten!$P753+Daten!$Q753+Daten!$S753=3,1,0)</f>
        <v>0</v>
      </c>
      <c r="F753" s="173">
        <f ca="1">IF(AND(Limits!$Q$21=TRUE,Daten!O753=1)=TRUE,1,0)</f>
        <v>0</v>
      </c>
      <c r="G753" s="174">
        <f>IF(AND(Limits!$Q$25=TRUE,Daten!N753=1)=TRUE,1,0)</f>
        <v>0</v>
      </c>
      <c r="H753" s="174">
        <f>IF(AND(Limits!$Q$24=TRUE,Daten!M753=1)=TRUE,1,0)</f>
        <v>0</v>
      </c>
      <c r="I753" s="174">
        <f>IF(AND(Limits!$Q$23=TRUE,Daten!L753=1)=TRUE,1,0)</f>
        <v>0</v>
      </c>
      <c r="J753" s="174">
        <f>IF(AND(Limits!$Q$22=TRUE,Daten!K753=1)=TRUE,1,0)</f>
        <v>0</v>
      </c>
      <c r="K753" s="188">
        <f>IF(Daten!$V753=13,1,0)</f>
        <v>1</v>
      </c>
      <c r="L753" s="189">
        <f>IF(Daten!$V753&lt;&gt;Daten!$W753,1,IF(Daten!$V753=14,1,0))</f>
        <v>1</v>
      </c>
      <c r="M753" s="189">
        <f>IF(Daten!$V753&lt;&gt;Daten!$W753,1,IF(Daten!$V753=16,1,0))</f>
        <v>1</v>
      </c>
      <c r="N753" s="189">
        <f>IF(Daten!$W753=17,1,0)</f>
        <v>1</v>
      </c>
      <c r="O753" s="190">
        <f ca="1">IF(Daten!$X753=Sprache!$A$70,1,0)</f>
        <v>0</v>
      </c>
      <c r="P753" s="191">
        <f>IF(AND(Daten!$AQ753&lt;=KINVARO!$AW$3,Daten!$AR753&gt;=KINVARO!$AW$3)=TRUE,1,0)</f>
        <v>1</v>
      </c>
      <c r="Q753" s="192">
        <f>IF(AND(Daten!$AA753&lt;=KINVARO!$AW$4,Daten!$AB753&gt;=KINVARO!$AW$4)=TRUE,1,0)</f>
        <v>0</v>
      </c>
      <c r="R753" s="192"/>
      <c r="S753" s="192">
        <f>IF(AND(Daten!$AD753&lt;=Limits!$I$70,Daten!$AE753&gt;=Limits!$I$70)=TRUE,1,0)</f>
        <v>1</v>
      </c>
      <c r="T753" s="193">
        <f ca="1">IF(Daten!$Y753=Sprache!$A$135,1,0)</f>
        <v>0</v>
      </c>
      <c r="U753" s="124" t="str">
        <f ca="1">Sprache!$A$69</f>
        <v>S-35 Откидной подъемник</v>
      </c>
      <c r="V753" s="194">
        <v>13</v>
      </c>
      <c r="W753" s="193">
        <v>17</v>
      </c>
      <c r="X753" s="187" t="str">
        <f ca="1">Sprache!$A$142</f>
        <v>Alu (Rahmen 19mm)</v>
      </c>
      <c r="Y753" s="187" t="str">
        <f ca="1">Sprache!$A$136</f>
        <v>nein</v>
      </c>
      <c r="Z753" s="187" t="str">
        <f ca="1">Sprache!$A$79</f>
        <v>Створка</v>
      </c>
      <c r="AA753" s="187">
        <v>480</v>
      </c>
      <c r="AB753" s="124">
        <v>509</v>
      </c>
      <c r="AC753" s="187"/>
      <c r="AD753" s="195">
        <v>5</v>
      </c>
      <c r="AE753" s="196">
        <v>12.5</v>
      </c>
      <c r="AF753" s="263" t="str">
        <f>MID(Tabelle2[[#This Row],[bnr full]],1,4)</f>
        <v>F152</v>
      </c>
      <c r="AG753" s="264" t="str">
        <f>MID(Tabelle2[[#This Row],[bnr full]],5,3)</f>
        <v>000</v>
      </c>
      <c r="AH753" s="265" t="str">
        <f>MID(Tabelle2[[#This Row],[bnr full]],8,3)</f>
        <v>256</v>
      </c>
      <c r="AI753" s="283" t="str">
        <f>MID(Tabelle2[[#This Row],[bnr full]],11,3)</f>
        <v>201</v>
      </c>
      <c r="AJ753" s="247" t="str">
        <f>MID(Tabelle2[[#This Row],[bnr full]],11,3)</f>
        <v>201</v>
      </c>
      <c r="AK753" s="284" t="s">
        <v>810</v>
      </c>
      <c r="AL753" s="187" t="str">
        <f ca="1">Sprache!$A$111</f>
        <v>Комплект (Л + П)</v>
      </c>
      <c r="AM753" s="187" t="s">
        <v>25</v>
      </c>
      <c r="AN753" s="187" t="str">
        <f ca="1">Sprache!$A$121</f>
        <v>Силовой механизм B</v>
      </c>
      <c r="AO753" s="187" t="str">
        <f ca="1">Sprache!$A$147</f>
        <v>Адаптер под алюминиевые рамки к комплекту Kinvaro S-35</v>
      </c>
      <c r="AP753" s="187" t="s">
        <v>814</v>
      </c>
      <c r="AQ753" s="187">
        <v>450</v>
      </c>
      <c r="AR753" s="124">
        <v>1200</v>
      </c>
      <c r="AS753" s="187"/>
      <c r="AT753" s="124"/>
      <c r="AV753"/>
      <c r="AX753" s="10"/>
      <c r="AY753" s="11"/>
      <c r="AZ753" s="2"/>
      <c r="BC753"/>
    </row>
    <row r="754" spans="1:55" hidden="1" x14ac:dyDescent="0.25">
      <c r="A754" s="12" t="str">
        <f ca="1">IF(F754+G754+H754+I754+J754+D754+E754=3,IF(Tabelle2[[#This Row],[Kappe Weiß]]=Limits!$R$29,1,""),"")</f>
        <v/>
      </c>
      <c r="B754" s="282" t="str">
        <f ca="1">IF(G754+H754+I754+J754+E754+F754=2,IF(Tabelle2[[#This Row],[Kappe Weiß]]=Limits!$R$29,1,""),"")</f>
        <v/>
      </c>
      <c r="C754" s="292">
        <v>1</v>
      </c>
      <c r="D754" s="171">
        <f>IF(Limits!$P$5=TRUE,1,0)</f>
        <v>0</v>
      </c>
      <c r="E754" s="172">
        <f>IF(Daten!$P754+Daten!$Q754+Daten!$S754=3,1,0)</f>
        <v>0</v>
      </c>
      <c r="F754" s="173">
        <f ca="1">IF(AND(Limits!$Q$21=TRUE,Daten!O754=1)=TRUE,1,0)</f>
        <v>1</v>
      </c>
      <c r="G754" s="174">
        <f ca="1">IF(AND(Limits!$Q$25=TRUE,Daten!N754=1)=TRUE,1,0)</f>
        <v>0</v>
      </c>
      <c r="H754" s="174">
        <f ca="1">IF(AND(Limits!$Q$24=TRUE,Daten!M754=1)=TRUE,1,0)</f>
        <v>0</v>
      </c>
      <c r="I754" s="174">
        <f ca="1">IF(AND(Limits!$Q$23=TRUE,Daten!L754=1)=TRUE,1,0)</f>
        <v>0</v>
      </c>
      <c r="J754" s="174">
        <f ca="1">IF(AND(Limits!$Q$22=TRUE,Daten!K754=1)=TRUE,1,0)</f>
        <v>0</v>
      </c>
      <c r="K754" s="188">
        <f ca="1">IF(Daten!$V754=13,1,0)</f>
        <v>0</v>
      </c>
      <c r="L754" s="189">
        <f ca="1">IF(Daten!$V754&lt;&gt;Daten!$W754,1,IF(Daten!$V754=14,1,0))</f>
        <v>0</v>
      </c>
      <c r="M754" s="189">
        <f ca="1">IF(Daten!$V754&lt;&gt;Daten!$W754,1,IF(Daten!$V754=16,1,0))</f>
        <v>0</v>
      </c>
      <c r="N754" s="189">
        <f ca="1">IF(Daten!$W754=17,1,0)</f>
        <v>0</v>
      </c>
      <c r="O754" s="190">
        <f ca="1">IF(Daten!$X754=Sprache!$A$70,1,0)</f>
        <v>1</v>
      </c>
      <c r="P754" s="198">
        <f>IF(AND(Daten!$AQ754&lt;=KINVARO!$AW$3,Daten!$AR754&gt;=KINVARO!$AW$3)=TRUE,1,0)</f>
        <v>1</v>
      </c>
      <c r="Q754" s="199">
        <f>IF(AND(Daten!$AA754&lt;=KINVARO!$AW$4,Daten!$AB754&gt;=KINVARO!$AW$4)=TRUE,1,0)</f>
        <v>0</v>
      </c>
      <c r="R754" s="199"/>
      <c r="S754" s="199">
        <f>IF(AND(Daten!$AD754&lt;=Limits!$I$70,Daten!$AE754&gt;=Limits!$I$70)=TRUE,1,0)</f>
        <v>0</v>
      </c>
      <c r="T754" s="200">
        <f ca="1">IF(Daten!$Y754=Sprache!$A$135,1,0)</f>
        <v>0</v>
      </c>
      <c r="U754" s="201" t="str">
        <f ca="1">Sprache!$A$69</f>
        <v>S-35 Откидной подъемник</v>
      </c>
      <c r="V754" s="194" t="str">
        <f ca="1">Sprache!$A$74</f>
        <v>var</v>
      </c>
      <c r="W754" s="200" t="str">
        <f ca="1">Sprache!$A$74</f>
        <v>var</v>
      </c>
      <c r="X754" s="187" t="str">
        <f ca="1">Sprache!$A$70</f>
        <v>соединение с древесиной</v>
      </c>
      <c r="Y754" s="187" t="str">
        <f ca="1">Sprache!$A$136</f>
        <v>nein</v>
      </c>
      <c r="Z754" s="187" t="str">
        <f ca="1">Sprache!$A$79</f>
        <v>Створка</v>
      </c>
      <c r="AA754" s="187">
        <v>510</v>
      </c>
      <c r="AB754" s="201">
        <v>539</v>
      </c>
      <c r="AC754" s="187"/>
      <c r="AD754" s="195">
        <v>2</v>
      </c>
      <c r="AE754" s="205">
        <v>6</v>
      </c>
      <c r="AF754" s="263" t="str">
        <f>MID(Tabelle2[[#This Row],[bnr full]],1,4)</f>
        <v>F152</v>
      </c>
      <c r="AG754" s="267" t="str">
        <f>MID(Tabelle2[[#This Row],[bnr full]],5,3)</f>
        <v>000</v>
      </c>
      <c r="AH754" s="268" t="str">
        <f>MID(Tabelle2[[#This Row],[bnr full]],8,3)</f>
        <v>255</v>
      </c>
      <c r="AI754" s="286" t="str">
        <f>MID(Tabelle2[[#This Row],[bnr full]],11,3)</f>
        <v>201</v>
      </c>
      <c r="AJ754" s="248" t="str">
        <f>MID(Tabelle2[[#This Row],[bnr full]],11,3)</f>
        <v>201</v>
      </c>
      <c r="AK754" s="284" t="s">
        <v>809</v>
      </c>
      <c r="AL754" s="187" t="str">
        <f ca="1">Sprache!$A$111</f>
        <v>Комплект (Л + П)</v>
      </c>
      <c r="AM754" s="187" t="s">
        <v>25</v>
      </c>
      <c r="AN754" s="187" t="str">
        <f ca="1">Sprache!$A$120</f>
        <v>Силовой механизм A</v>
      </c>
      <c r="AO754" s="187" t="s">
        <v>25</v>
      </c>
      <c r="AP754" s="187" t="s">
        <v>25</v>
      </c>
      <c r="AQ754" s="187">
        <v>450</v>
      </c>
      <c r="AR754" s="201">
        <v>1200</v>
      </c>
      <c r="AS754" s="187"/>
      <c r="AT754" s="124"/>
      <c r="AV754"/>
      <c r="AX754" s="10"/>
      <c r="AY754" s="11"/>
      <c r="AZ754" s="2"/>
      <c r="BC754"/>
    </row>
    <row r="755" spans="1:55" hidden="1" x14ac:dyDescent="0.25">
      <c r="A755" s="12" t="str">
        <f ca="1">IF(F755+G755+H755+I755+J755+D755+E755=3,IF(Tabelle2[[#This Row],[Kappe Weiß]]=Limits!$R$29,1,""),"")</f>
        <v/>
      </c>
      <c r="B755" s="282" t="str">
        <f ca="1">IF(G755+H755+I755+J755+E755+F755=2,IF(Tabelle2[[#This Row],[Kappe Weiß]]=Limits!$R$29,1,""),"")</f>
        <v/>
      </c>
      <c r="C755" s="291">
        <v>1</v>
      </c>
      <c r="D755" s="171">
        <f>IF(Limits!$P$5=TRUE,1,0)</f>
        <v>0</v>
      </c>
      <c r="E755" s="172">
        <f>IF(Daten!$P755+Daten!$Q755+Daten!$S755=3,1,0)</f>
        <v>0</v>
      </c>
      <c r="F755" s="173">
        <f ca="1">IF(AND(Limits!$Q$21=TRUE,Daten!O755=1)=TRUE,1,0)</f>
        <v>1</v>
      </c>
      <c r="G755" s="174">
        <f ca="1">IF(AND(Limits!$Q$25=TRUE,Daten!N755=1)=TRUE,1,0)</f>
        <v>0</v>
      </c>
      <c r="H755" s="174">
        <f ca="1">IF(AND(Limits!$Q$24=TRUE,Daten!M755=1)=TRUE,1,0)</f>
        <v>0</v>
      </c>
      <c r="I755" s="174">
        <f ca="1">IF(AND(Limits!$Q$23=TRUE,Daten!L755=1)=TRUE,1,0)</f>
        <v>0</v>
      </c>
      <c r="J755" s="174">
        <f ca="1">IF(AND(Limits!$Q$22=TRUE,Daten!K755=1)=TRUE,1,0)</f>
        <v>0</v>
      </c>
      <c r="K755" s="188">
        <f ca="1">IF(Daten!$V755=13,1,0)</f>
        <v>0</v>
      </c>
      <c r="L755" s="189">
        <f ca="1">IF(Daten!$V755&lt;&gt;Daten!$W755,1,IF(Daten!$V755=14,1,0))</f>
        <v>0</v>
      </c>
      <c r="M755" s="189">
        <f ca="1">IF(Daten!$V755&lt;&gt;Daten!$W755,1,IF(Daten!$V755=16,1,0))</f>
        <v>0</v>
      </c>
      <c r="N755" s="189">
        <f ca="1">IF(Daten!$W755=17,1,0)</f>
        <v>0</v>
      </c>
      <c r="O755" s="190">
        <f ca="1">IF(Daten!$X755=Sprache!$A$70,1,0)</f>
        <v>1</v>
      </c>
      <c r="P755" s="191">
        <f>IF(AND(Daten!$AQ755&lt;=KINVARO!$AW$3,Daten!$AR755&gt;=KINVARO!$AW$3)=TRUE,1,0)</f>
        <v>1</v>
      </c>
      <c r="Q755" s="192">
        <f>IF(AND(Daten!$AA755&lt;=KINVARO!$AW$4,Daten!$AB755&gt;=KINVARO!$AW$4)=TRUE,1,0)</f>
        <v>0</v>
      </c>
      <c r="R755" s="192"/>
      <c r="S755" s="192">
        <f>IF(AND(Daten!$AD755&lt;=Limits!$I$70,Daten!$AE755&gt;=Limits!$I$70)=TRUE,1,0)</f>
        <v>1</v>
      </c>
      <c r="T755" s="193">
        <f ca="1">IF(Daten!$Y755=Sprache!$A$135,1,0)</f>
        <v>0</v>
      </c>
      <c r="U755" s="124" t="str">
        <f ca="1">Sprache!$A$69</f>
        <v>S-35 Откидной подъемник</v>
      </c>
      <c r="V755" s="194" t="str">
        <f ca="1">Sprache!$A$74</f>
        <v>var</v>
      </c>
      <c r="W755" s="193" t="str">
        <f ca="1">Sprache!$A$74</f>
        <v>var</v>
      </c>
      <c r="X755" s="187" t="str">
        <f ca="1">Sprache!$A$70</f>
        <v>соединение с древесиной</v>
      </c>
      <c r="Y755" s="187" t="str">
        <f ca="1">Sprache!$A$136</f>
        <v>nein</v>
      </c>
      <c r="Z755" s="187" t="str">
        <f ca="1">Sprache!$A$79</f>
        <v>Створка</v>
      </c>
      <c r="AA755" s="187">
        <v>510</v>
      </c>
      <c r="AB755" s="124">
        <v>539</v>
      </c>
      <c r="AC755" s="187"/>
      <c r="AD755" s="195">
        <v>5</v>
      </c>
      <c r="AE755" s="196">
        <v>13</v>
      </c>
      <c r="AF755" s="263" t="str">
        <f>MID(Tabelle2[[#This Row],[bnr full]],1,4)</f>
        <v>F152</v>
      </c>
      <c r="AG755" s="264" t="str">
        <f>MID(Tabelle2[[#This Row],[bnr full]],5,3)</f>
        <v>000</v>
      </c>
      <c r="AH755" s="265" t="str">
        <f>MID(Tabelle2[[#This Row],[bnr full]],8,3)</f>
        <v>256</v>
      </c>
      <c r="AI755" s="283" t="str">
        <f>MID(Tabelle2[[#This Row],[bnr full]],11,3)</f>
        <v>201</v>
      </c>
      <c r="AJ755" s="247" t="str">
        <f>MID(Tabelle2[[#This Row],[bnr full]],11,3)</f>
        <v>201</v>
      </c>
      <c r="AK755" s="284" t="s">
        <v>810</v>
      </c>
      <c r="AL755" s="187" t="str">
        <f ca="1">Sprache!$A$111</f>
        <v>Комплект (Л + П)</v>
      </c>
      <c r="AM755" s="187" t="s">
        <v>25</v>
      </c>
      <c r="AN755" s="187" t="str">
        <f ca="1">Sprache!$A$121</f>
        <v>Силовой механизм B</v>
      </c>
      <c r="AO755" s="187" t="s">
        <v>25</v>
      </c>
      <c r="AP755" s="187" t="s">
        <v>25</v>
      </c>
      <c r="AQ755" s="187">
        <v>450</v>
      </c>
      <c r="AR755" s="124">
        <v>1200</v>
      </c>
      <c r="AS755" s="187"/>
      <c r="AT755" s="124"/>
      <c r="AV755"/>
      <c r="AX755" s="10"/>
      <c r="AY755" s="11"/>
      <c r="AZ755" s="2"/>
      <c r="BC755"/>
    </row>
    <row r="756" spans="1:55" hidden="1" x14ac:dyDescent="0.25">
      <c r="A756" s="12" t="str">
        <f ca="1">IF(F756+G756+H756+I756+J756+D756+E756=3,IF(Tabelle2[[#This Row],[Kappe Weiß]]=Limits!$R$29,1,""),"")</f>
        <v/>
      </c>
      <c r="B756" s="282" t="str">
        <f ca="1">IF(G756+H756+I756+J756+E756+F756=2,IF(Tabelle2[[#This Row],[Kappe Weiß]]=Limits!$R$29,1,""),"")</f>
        <v/>
      </c>
      <c r="C756" s="291">
        <v>1</v>
      </c>
      <c r="D756" s="171">
        <f>IF(Limits!$P$5=TRUE,1,0)</f>
        <v>0</v>
      </c>
      <c r="E756" s="172">
        <f>IF(Daten!$P756+Daten!$Q756+Daten!$S756=3,1,0)</f>
        <v>0</v>
      </c>
      <c r="F756" s="173">
        <f ca="1">IF(AND(Limits!$Q$21=TRUE,Daten!O756=1)=TRUE,1,0)</f>
        <v>1</v>
      </c>
      <c r="G756" s="174">
        <f ca="1">IF(AND(Limits!$Q$25=TRUE,Daten!N756=1)=TRUE,1,0)</f>
        <v>0</v>
      </c>
      <c r="H756" s="174">
        <f ca="1">IF(AND(Limits!$Q$24=TRUE,Daten!M756=1)=TRUE,1,0)</f>
        <v>0</v>
      </c>
      <c r="I756" s="174">
        <f ca="1">IF(AND(Limits!$Q$23=TRUE,Daten!L756=1)=TRUE,1,0)</f>
        <v>0</v>
      </c>
      <c r="J756" s="174">
        <f ca="1">IF(AND(Limits!$Q$22=TRUE,Daten!K756=1)=TRUE,1,0)</f>
        <v>0</v>
      </c>
      <c r="K756" s="188">
        <f ca="1">IF(Daten!$V756=13,1,0)</f>
        <v>0</v>
      </c>
      <c r="L756" s="189">
        <f ca="1">IF(Daten!$V756&lt;&gt;Daten!$W756,1,IF(Daten!$V756=14,1,0))</f>
        <v>0</v>
      </c>
      <c r="M756" s="189">
        <f ca="1">IF(Daten!$V756&lt;&gt;Daten!$W756,1,IF(Daten!$V756=16,1,0))</f>
        <v>0</v>
      </c>
      <c r="N756" s="189">
        <f ca="1">IF(Daten!$W756=17,1,0)</f>
        <v>0</v>
      </c>
      <c r="O756" s="190">
        <f ca="1">IF(Daten!$X756=Sprache!$A$70,1,0)</f>
        <v>1</v>
      </c>
      <c r="P756" s="191">
        <f>IF(AND(Daten!$AQ756&lt;=KINVARO!$AW$3,Daten!$AR756&gt;=KINVARO!$AW$3)=TRUE,1,0)</f>
        <v>1</v>
      </c>
      <c r="Q756" s="192">
        <f>IF(AND(Daten!$AA756&lt;=KINVARO!$AW$4,Daten!$AB756&gt;=KINVARO!$AW$4)=TRUE,1,0)</f>
        <v>0</v>
      </c>
      <c r="R756" s="192"/>
      <c r="S756" s="192">
        <f>IF(AND(Daten!$AD756&lt;=Limits!$I$70,Daten!$AE756&gt;=Limits!$I$70)=TRUE,1,0)</f>
        <v>1</v>
      </c>
      <c r="T756" s="193">
        <f ca="1">IF(Daten!$Y756=Sprache!$A$135,1,0)</f>
        <v>0</v>
      </c>
      <c r="U756" s="124" t="str">
        <f ca="1">Sprache!$A$69</f>
        <v>S-35 Откидной подъемник</v>
      </c>
      <c r="V756" s="194" t="str">
        <f ca="1">Sprache!$A$74</f>
        <v>var</v>
      </c>
      <c r="W756" s="193" t="str">
        <f ca="1">Sprache!$A$74</f>
        <v>var</v>
      </c>
      <c r="X756" s="187" t="str">
        <f ca="1">Sprache!$A$70</f>
        <v>соединение с древесиной</v>
      </c>
      <c r="Y756" s="187" t="str">
        <f ca="1">Sprache!$A$136</f>
        <v>nein</v>
      </c>
      <c r="Z756" s="187" t="str">
        <f ca="1">Sprache!$A$79</f>
        <v>Створка</v>
      </c>
      <c r="AA756" s="187">
        <v>510</v>
      </c>
      <c r="AB756" s="124">
        <v>539</v>
      </c>
      <c r="AC756" s="187"/>
      <c r="AD756" s="195">
        <v>6</v>
      </c>
      <c r="AE756" s="196">
        <v>14</v>
      </c>
      <c r="AF756" s="263" t="str">
        <f>MID(Tabelle2[[#This Row],[bnr full]],1,4)</f>
        <v>F152</v>
      </c>
      <c r="AG756" s="264" t="str">
        <f>MID(Tabelle2[[#This Row],[bnr full]],5,3)</f>
        <v>000</v>
      </c>
      <c r="AH756" s="265" t="str">
        <f>MID(Tabelle2[[#This Row],[bnr full]],8,3)</f>
        <v>257</v>
      </c>
      <c r="AI756" s="283" t="str">
        <f>MID(Tabelle2[[#This Row],[bnr full]],11,3)</f>
        <v>201</v>
      </c>
      <c r="AJ756" s="247" t="str">
        <f>MID(Tabelle2[[#This Row],[bnr full]],11,3)</f>
        <v>201</v>
      </c>
      <c r="AK756" s="284" t="s">
        <v>811</v>
      </c>
      <c r="AL756" s="187" t="str">
        <f ca="1">Sprache!$A$111</f>
        <v>Комплект (Л + П)</v>
      </c>
      <c r="AM756" s="187" t="s">
        <v>25</v>
      </c>
      <c r="AN756" s="187" t="str">
        <f ca="1">Sprache!$A$122</f>
        <v>Силовой механизм C</v>
      </c>
      <c r="AO756" s="187" t="s">
        <v>25</v>
      </c>
      <c r="AP756" s="187" t="s">
        <v>25</v>
      </c>
      <c r="AQ756" s="187">
        <v>450</v>
      </c>
      <c r="AR756" s="124">
        <v>1200</v>
      </c>
      <c r="AS756" s="187"/>
      <c r="AT756" s="124"/>
      <c r="AV756"/>
      <c r="AX756" s="10"/>
      <c r="AY756" s="11"/>
      <c r="AZ756" s="2"/>
      <c r="BC756"/>
    </row>
    <row r="757" spans="1:55" hidden="1" x14ac:dyDescent="0.25">
      <c r="A757" s="12" t="str">
        <f ca="1">IF(F757+G757+H757+I757+J757+D757+E757=3,IF(Tabelle2[[#This Row],[Kappe Weiß]]=Limits!$R$29,1,""),"")</f>
        <v/>
      </c>
      <c r="B757" s="282" t="str">
        <f ca="1">IF(G757+H757+I757+J757+E757+F757=2,IF(Tabelle2[[#This Row],[Kappe Weiß]]=Limits!$R$29,1,""),"")</f>
        <v/>
      </c>
      <c r="C757" s="291">
        <v>1</v>
      </c>
      <c r="D757" s="171">
        <f>IF(Limits!$P$5=TRUE,1,0)</f>
        <v>0</v>
      </c>
      <c r="E757" s="172">
        <f>IF(Daten!$P757+Daten!$Q757+Daten!$S757=3,1,0)</f>
        <v>0</v>
      </c>
      <c r="F757" s="173">
        <f ca="1">IF(AND(Limits!$Q$21=TRUE,Daten!O757=1)=TRUE,1,0)</f>
        <v>0</v>
      </c>
      <c r="G757" s="174">
        <f>IF(AND(Limits!$Q$25=TRUE,Daten!N757=1)=TRUE,1,0)</f>
        <v>0</v>
      </c>
      <c r="H757" s="174">
        <f>IF(AND(Limits!$Q$24=TRUE,Daten!M757=1)=TRUE,1,0)</f>
        <v>0</v>
      </c>
      <c r="I757" s="174">
        <f>IF(AND(Limits!$Q$23=TRUE,Daten!L757=1)=TRUE,1,0)</f>
        <v>0</v>
      </c>
      <c r="J757" s="174">
        <f>IF(AND(Limits!$Q$22=TRUE,Daten!K757=1)=TRUE,1,0)</f>
        <v>0</v>
      </c>
      <c r="K757" s="188">
        <f>IF(Daten!$V757=13,1,0)</f>
        <v>1</v>
      </c>
      <c r="L757" s="189">
        <f>IF(Daten!$V757&lt;&gt;Daten!$W757,1,IF(Daten!$V757=14,1,0))</f>
        <v>1</v>
      </c>
      <c r="M757" s="189">
        <f>IF(Daten!$V757&lt;&gt;Daten!$W757,1,IF(Daten!$V757=16,1,0))</f>
        <v>1</v>
      </c>
      <c r="N757" s="189">
        <f>IF(Daten!$W757=17,1,0)</f>
        <v>1</v>
      </c>
      <c r="O757" s="190">
        <f ca="1">IF(Daten!$X757=Sprache!$A$70,1,0)</f>
        <v>0</v>
      </c>
      <c r="P757" s="191">
        <f>IF(AND(Daten!$AQ757&lt;=KINVARO!$AW$3,Daten!$AR757&gt;=KINVARO!$AW$3)=TRUE,1,0)</f>
        <v>1</v>
      </c>
      <c r="Q757" s="192">
        <f>IF(AND(Daten!$AA757&lt;=KINVARO!$AW$4,Daten!$AB757&gt;=KINVARO!$AW$4)=TRUE,1,0)</f>
        <v>0</v>
      </c>
      <c r="R757" s="192"/>
      <c r="S757" s="192">
        <f>IF(AND(Daten!$AD757&lt;=Limits!$I$70,Daten!$AE757&gt;=Limits!$I$70)=TRUE,1,0)</f>
        <v>0</v>
      </c>
      <c r="T757" s="193">
        <f ca="1">IF(Daten!$Y757=Sprache!$A$135,1,0)</f>
        <v>0</v>
      </c>
      <c r="U757" s="124" t="str">
        <f ca="1">Sprache!$A$69</f>
        <v>S-35 Откидной подъемник</v>
      </c>
      <c r="V757" s="194">
        <v>13</v>
      </c>
      <c r="W757" s="193">
        <v>17</v>
      </c>
      <c r="X757" s="187" t="str">
        <f ca="1">Sprache!$A$142</f>
        <v>Alu (Rahmen 19mm)</v>
      </c>
      <c r="Y757" s="187" t="str">
        <f ca="1">Sprache!$A$136</f>
        <v>nein</v>
      </c>
      <c r="Z757" s="187" t="str">
        <f ca="1">Sprache!$A$79</f>
        <v>Створка</v>
      </c>
      <c r="AA757" s="187">
        <v>510</v>
      </c>
      <c r="AB757" s="124">
        <v>539</v>
      </c>
      <c r="AC757" s="187"/>
      <c r="AD757" s="195">
        <v>2</v>
      </c>
      <c r="AE757" s="196">
        <v>6</v>
      </c>
      <c r="AF757" s="263" t="str">
        <f>MID(Tabelle2[[#This Row],[bnr full]],1,4)</f>
        <v>F152</v>
      </c>
      <c r="AG757" s="264" t="str">
        <f>MID(Tabelle2[[#This Row],[bnr full]],5,3)</f>
        <v>000</v>
      </c>
      <c r="AH757" s="265" t="str">
        <f>MID(Tabelle2[[#This Row],[bnr full]],8,3)</f>
        <v>255</v>
      </c>
      <c r="AI757" s="283" t="str">
        <f>MID(Tabelle2[[#This Row],[bnr full]],11,3)</f>
        <v>201</v>
      </c>
      <c r="AJ757" s="247" t="str">
        <f>MID(Tabelle2[[#This Row],[bnr full]],11,3)</f>
        <v>201</v>
      </c>
      <c r="AK757" s="284" t="s">
        <v>809</v>
      </c>
      <c r="AL757" s="187" t="str">
        <f ca="1">Sprache!$A$111</f>
        <v>Комплект (Л + П)</v>
      </c>
      <c r="AM757" s="187" t="s">
        <v>25</v>
      </c>
      <c r="AN757" s="187" t="str">
        <f ca="1">Sprache!$A$120</f>
        <v>Силовой механизм A</v>
      </c>
      <c r="AO757" s="187" t="str">
        <f ca="1">Sprache!$A$147</f>
        <v>Адаптер под алюминиевые рамки к комплекту Kinvaro S-35</v>
      </c>
      <c r="AP757" s="187" t="s">
        <v>814</v>
      </c>
      <c r="AQ757" s="187">
        <v>450</v>
      </c>
      <c r="AR757" s="124">
        <v>1200</v>
      </c>
      <c r="AS757" s="187"/>
      <c r="AT757" s="124"/>
      <c r="AV757"/>
      <c r="AX757" s="10"/>
      <c r="AY757" s="11"/>
      <c r="AZ757" s="2"/>
      <c r="BC757"/>
    </row>
    <row r="758" spans="1:55" hidden="1" x14ac:dyDescent="0.25">
      <c r="A758" s="12" t="str">
        <f ca="1">IF(F758+G758+H758+I758+J758+D758+E758=3,IF(Tabelle2[[#This Row],[Kappe Weiß]]=Limits!$R$29,1,""),"")</f>
        <v/>
      </c>
      <c r="B758" s="282" t="str">
        <f ca="1">IF(G758+H758+I758+J758+E758+F758=2,IF(Tabelle2[[#This Row],[Kappe Weiß]]=Limits!$R$29,1,""),"")</f>
        <v/>
      </c>
      <c r="C758" s="291">
        <v>1</v>
      </c>
      <c r="D758" s="171">
        <f>IF(Limits!$P$5=TRUE,1,0)</f>
        <v>0</v>
      </c>
      <c r="E758" s="172">
        <f>IF(Daten!$P758+Daten!$Q758+Daten!$S758=3,1,0)</f>
        <v>0</v>
      </c>
      <c r="F758" s="173">
        <f ca="1">IF(AND(Limits!$Q$21=TRUE,Daten!O758=1)=TRUE,1,0)</f>
        <v>0</v>
      </c>
      <c r="G758" s="174">
        <f>IF(AND(Limits!$Q$25=TRUE,Daten!N758=1)=TRUE,1,0)</f>
        <v>0</v>
      </c>
      <c r="H758" s="174">
        <f>IF(AND(Limits!$Q$24=TRUE,Daten!M758=1)=TRUE,1,0)</f>
        <v>0</v>
      </c>
      <c r="I758" s="174">
        <f>IF(AND(Limits!$Q$23=TRUE,Daten!L758=1)=TRUE,1,0)</f>
        <v>0</v>
      </c>
      <c r="J758" s="174">
        <f>IF(AND(Limits!$Q$22=TRUE,Daten!K758=1)=TRUE,1,0)</f>
        <v>0</v>
      </c>
      <c r="K758" s="188">
        <f>IF(Daten!$V758=13,1,0)</f>
        <v>1</v>
      </c>
      <c r="L758" s="189">
        <f>IF(Daten!$V758&lt;&gt;Daten!$W758,1,IF(Daten!$V758=14,1,0))</f>
        <v>1</v>
      </c>
      <c r="M758" s="189">
        <f>IF(Daten!$V758&lt;&gt;Daten!$W758,1,IF(Daten!$V758=16,1,0))</f>
        <v>1</v>
      </c>
      <c r="N758" s="189">
        <f>IF(Daten!$W758=17,1,0)</f>
        <v>1</v>
      </c>
      <c r="O758" s="190">
        <f ca="1">IF(Daten!$X758=Sprache!$A$70,1,0)</f>
        <v>0</v>
      </c>
      <c r="P758" s="191">
        <f>IF(AND(Daten!$AQ758&lt;=KINVARO!$AW$3,Daten!$AR758&gt;=KINVARO!$AW$3)=TRUE,1,0)</f>
        <v>1</v>
      </c>
      <c r="Q758" s="192">
        <f>IF(AND(Daten!$AA758&lt;=KINVARO!$AW$4,Daten!$AB758&gt;=KINVARO!$AW$4)=TRUE,1,0)</f>
        <v>0</v>
      </c>
      <c r="R758" s="192"/>
      <c r="S758" s="192">
        <f>IF(AND(Daten!$AD758&lt;=Limits!$I$70,Daten!$AE758&gt;=Limits!$I$70)=TRUE,1,0)</f>
        <v>1</v>
      </c>
      <c r="T758" s="193">
        <f ca="1">IF(Daten!$Y758=Sprache!$A$135,1,0)</f>
        <v>0</v>
      </c>
      <c r="U758" s="124" t="str">
        <f ca="1">Sprache!$A$69</f>
        <v>S-35 Откидной подъемник</v>
      </c>
      <c r="V758" s="194">
        <v>13</v>
      </c>
      <c r="W758" s="193">
        <v>17</v>
      </c>
      <c r="X758" s="187" t="str">
        <f ca="1">Sprache!$A$142</f>
        <v>Alu (Rahmen 19mm)</v>
      </c>
      <c r="Y758" s="187" t="str">
        <f ca="1">Sprache!$A$136</f>
        <v>nein</v>
      </c>
      <c r="Z758" s="187" t="str">
        <f ca="1">Sprache!$A$79</f>
        <v>Створка</v>
      </c>
      <c r="AA758" s="187">
        <v>510</v>
      </c>
      <c r="AB758" s="124">
        <v>539</v>
      </c>
      <c r="AC758" s="187"/>
      <c r="AD758" s="195">
        <v>5</v>
      </c>
      <c r="AE758" s="196">
        <v>13</v>
      </c>
      <c r="AF758" s="263" t="str">
        <f>MID(Tabelle2[[#This Row],[bnr full]],1,4)</f>
        <v>F152</v>
      </c>
      <c r="AG758" s="264" t="str">
        <f>MID(Tabelle2[[#This Row],[bnr full]],5,3)</f>
        <v>000</v>
      </c>
      <c r="AH758" s="265" t="str">
        <f>MID(Tabelle2[[#This Row],[bnr full]],8,3)</f>
        <v>256</v>
      </c>
      <c r="AI758" s="283" t="str">
        <f>MID(Tabelle2[[#This Row],[bnr full]],11,3)</f>
        <v>201</v>
      </c>
      <c r="AJ758" s="247" t="str">
        <f>MID(Tabelle2[[#This Row],[bnr full]],11,3)</f>
        <v>201</v>
      </c>
      <c r="AK758" s="284" t="s">
        <v>810</v>
      </c>
      <c r="AL758" s="187" t="str">
        <f ca="1">Sprache!$A$111</f>
        <v>Комплект (Л + П)</v>
      </c>
      <c r="AM758" s="187" t="s">
        <v>25</v>
      </c>
      <c r="AN758" s="187" t="str">
        <f ca="1">Sprache!$A$121</f>
        <v>Силовой механизм B</v>
      </c>
      <c r="AO758" s="187" t="str">
        <f ca="1">Sprache!$A$147</f>
        <v>Адаптер под алюминиевые рамки к комплекту Kinvaro S-35</v>
      </c>
      <c r="AP758" s="187" t="s">
        <v>814</v>
      </c>
      <c r="AQ758" s="187">
        <v>450</v>
      </c>
      <c r="AR758" s="124">
        <v>1200</v>
      </c>
      <c r="AS758" s="187"/>
      <c r="AT758" s="124"/>
      <c r="AV758"/>
      <c r="AX758" s="10"/>
      <c r="AY758" s="11"/>
      <c r="AZ758" s="2"/>
      <c r="BC758"/>
    </row>
    <row r="759" spans="1:55" hidden="1" x14ac:dyDescent="0.25">
      <c r="A759" s="12" t="str">
        <f ca="1">IF(F759+G759+H759+I759+J759+D759+E759=3,IF(Tabelle2[[#This Row],[Kappe Weiß]]=Limits!$R$29,1,""),"")</f>
        <v/>
      </c>
      <c r="B759" s="282" t="str">
        <f ca="1">IF(G759+H759+I759+J759+E759+F759=2,IF(Tabelle2[[#This Row],[Kappe Weiß]]=Limits!$R$29,1,""),"")</f>
        <v/>
      </c>
      <c r="C759" s="291">
        <v>1</v>
      </c>
      <c r="D759" s="171">
        <f>IF(Limits!$P$5=TRUE,1,0)</f>
        <v>0</v>
      </c>
      <c r="E759" s="172">
        <f>IF(Daten!$P759+Daten!$Q759+Daten!$S759=3,1,0)</f>
        <v>0</v>
      </c>
      <c r="F759" s="173">
        <f ca="1">IF(AND(Limits!$Q$21=TRUE,Daten!O759=1)=TRUE,1,0)</f>
        <v>0</v>
      </c>
      <c r="G759" s="174">
        <f>IF(AND(Limits!$Q$25=TRUE,Daten!N759=1)=TRUE,1,0)</f>
        <v>0</v>
      </c>
      <c r="H759" s="174">
        <f>IF(AND(Limits!$Q$24=TRUE,Daten!M759=1)=TRUE,1,0)</f>
        <v>0</v>
      </c>
      <c r="I759" s="174">
        <f>IF(AND(Limits!$Q$23=TRUE,Daten!L759=1)=TRUE,1,0)</f>
        <v>0</v>
      </c>
      <c r="J759" s="174">
        <f>IF(AND(Limits!$Q$22=TRUE,Daten!K759=1)=TRUE,1,0)</f>
        <v>0</v>
      </c>
      <c r="K759" s="188">
        <f>IF(Daten!$V759=13,1,0)</f>
        <v>1</v>
      </c>
      <c r="L759" s="189">
        <f>IF(Daten!$V759&lt;&gt;Daten!$W759,1,IF(Daten!$V759=14,1,0))</f>
        <v>1</v>
      </c>
      <c r="M759" s="189">
        <f>IF(Daten!$V759&lt;&gt;Daten!$W759,1,IF(Daten!$V759=16,1,0))</f>
        <v>1</v>
      </c>
      <c r="N759" s="189">
        <f>IF(Daten!$W759=17,1,0)</f>
        <v>1</v>
      </c>
      <c r="O759" s="190">
        <f ca="1">IF(Daten!$X759=Sprache!$A$70,1,0)</f>
        <v>0</v>
      </c>
      <c r="P759" s="191">
        <f>IF(AND(Daten!$AQ759&lt;=KINVARO!$AW$3,Daten!$AR759&gt;=KINVARO!$AW$3)=TRUE,1,0)</f>
        <v>1</v>
      </c>
      <c r="Q759" s="192">
        <f>IF(AND(Daten!$AA759&lt;=KINVARO!$AW$4,Daten!$AB759&gt;=KINVARO!$AW$4)=TRUE,1,0)</f>
        <v>0</v>
      </c>
      <c r="R759" s="192"/>
      <c r="S759" s="192">
        <f>IF(AND(Daten!$AD759&lt;=Limits!$I$70,Daten!$AE759&gt;=Limits!$I$70)=TRUE,1,0)</f>
        <v>1</v>
      </c>
      <c r="T759" s="193">
        <f ca="1">IF(Daten!$Y759=Sprache!$A$135,1,0)</f>
        <v>0</v>
      </c>
      <c r="U759" s="124" t="str">
        <f ca="1">Sprache!$A$69</f>
        <v>S-35 Откидной подъемник</v>
      </c>
      <c r="V759" s="194">
        <v>13</v>
      </c>
      <c r="W759" s="193">
        <v>17</v>
      </c>
      <c r="X759" s="187" t="str">
        <f ca="1">Sprache!$A$142</f>
        <v>Alu (Rahmen 19mm)</v>
      </c>
      <c r="Y759" s="187" t="str">
        <f ca="1">Sprache!$A$136</f>
        <v>nein</v>
      </c>
      <c r="Z759" s="187" t="str">
        <f ca="1">Sprache!$A$79</f>
        <v>Створка</v>
      </c>
      <c r="AA759" s="187">
        <v>510</v>
      </c>
      <c r="AB759" s="124">
        <v>539</v>
      </c>
      <c r="AC759" s="187"/>
      <c r="AD759" s="195">
        <v>6</v>
      </c>
      <c r="AE759" s="196">
        <v>14</v>
      </c>
      <c r="AF759" s="263" t="str">
        <f>MID(Tabelle2[[#This Row],[bnr full]],1,4)</f>
        <v>F152</v>
      </c>
      <c r="AG759" s="264" t="str">
        <f>MID(Tabelle2[[#This Row],[bnr full]],5,3)</f>
        <v>000</v>
      </c>
      <c r="AH759" s="265" t="str">
        <f>MID(Tabelle2[[#This Row],[bnr full]],8,3)</f>
        <v>257</v>
      </c>
      <c r="AI759" s="283" t="str">
        <f>MID(Tabelle2[[#This Row],[bnr full]],11,3)</f>
        <v>201</v>
      </c>
      <c r="AJ759" s="247" t="str">
        <f>MID(Tabelle2[[#This Row],[bnr full]],11,3)</f>
        <v>201</v>
      </c>
      <c r="AK759" s="284" t="s">
        <v>811</v>
      </c>
      <c r="AL759" s="187" t="str">
        <f ca="1">Sprache!$A$111</f>
        <v>Комплект (Л + П)</v>
      </c>
      <c r="AM759" s="187" t="s">
        <v>25</v>
      </c>
      <c r="AN759" s="187" t="str">
        <f ca="1">Sprache!$A$122</f>
        <v>Силовой механизм C</v>
      </c>
      <c r="AO759" s="187" t="str">
        <f ca="1">Sprache!$A$147</f>
        <v>Адаптер под алюминиевые рамки к комплекту Kinvaro S-35</v>
      </c>
      <c r="AP759" s="187" t="s">
        <v>814</v>
      </c>
      <c r="AQ759" s="187">
        <v>450</v>
      </c>
      <c r="AR759" s="124">
        <v>1200</v>
      </c>
      <c r="AS759" s="187"/>
      <c r="AT759" s="124"/>
      <c r="AV759"/>
      <c r="AX759" s="10"/>
      <c r="AY759" s="11"/>
      <c r="AZ759" s="2"/>
      <c r="BC759"/>
    </row>
    <row r="760" spans="1:55" hidden="1" x14ac:dyDescent="0.25">
      <c r="A760" s="12" t="str">
        <f ca="1">IF(F760+G760+H760+I760+J760+D760+E760=3,IF(Tabelle2[[#This Row],[Kappe Weiß]]=Limits!$R$29,1,""),"")</f>
        <v/>
      </c>
      <c r="B760" s="282" t="str">
        <f ca="1">IF(G760+H760+I760+J760+E760+F760=2,IF(Tabelle2[[#This Row],[Kappe Weiß]]=Limits!$R$29,1,""),"")</f>
        <v/>
      </c>
      <c r="C760" s="292">
        <v>1</v>
      </c>
      <c r="D760" s="171">
        <f>IF(Limits!$P$5=TRUE,1,0)</f>
        <v>0</v>
      </c>
      <c r="E760" s="172">
        <f>IF(Daten!$P760+Daten!$Q760+Daten!$S760=3,1,0)</f>
        <v>0</v>
      </c>
      <c r="F760" s="173">
        <f ca="1">IF(AND(Limits!$Q$21=TRUE,Daten!O760=1)=TRUE,1,0)</f>
        <v>1</v>
      </c>
      <c r="G760" s="174">
        <f ca="1">IF(AND(Limits!$Q$25=TRUE,Daten!N760=1)=TRUE,1,0)</f>
        <v>0</v>
      </c>
      <c r="H760" s="174">
        <f ca="1">IF(AND(Limits!$Q$24=TRUE,Daten!M760=1)=TRUE,1,0)</f>
        <v>0</v>
      </c>
      <c r="I760" s="174">
        <f ca="1">IF(AND(Limits!$Q$23=TRUE,Daten!L760=1)=TRUE,1,0)</f>
        <v>0</v>
      </c>
      <c r="J760" s="174">
        <f ca="1">IF(AND(Limits!$Q$22=TRUE,Daten!K760=1)=TRUE,1,0)</f>
        <v>0</v>
      </c>
      <c r="K760" s="188">
        <f ca="1">IF(Daten!$V760=13,1,0)</f>
        <v>0</v>
      </c>
      <c r="L760" s="189">
        <f ca="1">IF(Daten!$V760&lt;&gt;Daten!$W760,1,IF(Daten!$V760=14,1,0))</f>
        <v>0</v>
      </c>
      <c r="M760" s="189">
        <f ca="1">IF(Daten!$V760&lt;&gt;Daten!$W760,1,IF(Daten!$V760=16,1,0))</f>
        <v>0</v>
      </c>
      <c r="N760" s="189">
        <f ca="1">IF(Daten!$W760=17,1,0)</f>
        <v>0</v>
      </c>
      <c r="O760" s="190">
        <f ca="1">IF(Daten!$X760=Sprache!$A$70,1,0)</f>
        <v>1</v>
      </c>
      <c r="P760" s="198">
        <f>IF(AND(Daten!$AQ760&lt;=KINVARO!$AW$3,Daten!$AR760&gt;=KINVARO!$AW$3)=TRUE,1,0)</f>
        <v>1</v>
      </c>
      <c r="Q760" s="199">
        <f>IF(AND(Daten!$AA760&lt;=KINVARO!$AW$4,Daten!$AB760&gt;=KINVARO!$AW$4)=TRUE,1,0)</f>
        <v>0</v>
      </c>
      <c r="R760" s="199"/>
      <c r="S760" s="199">
        <f>IF(AND(Daten!$AD760&lt;=Limits!$I$70,Daten!$AE760&gt;=Limits!$I$70)=TRUE,1,0)</f>
        <v>0</v>
      </c>
      <c r="T760" s="200">
        <f ca="1">IF(Daten!$Y760=Sprache!$A$135,1,0)</f>
        <v>0</v>
      </c>
      <c r="U760" s="201" t="str">
        <f ca="1">Sprache!$A$69</f>
        <v>S-35 Откидной подъемник</v>
      </c>
      <c r="V760" s="194" t="str">
        <f ca="1">Sprache!$A$74</f>
        <v>var</v>
      </c>
      <c r="W760" s="200" t="str">
        <f ca="1">Sprache!$A$74</f>
        <v>var</v>
      </c>
      <c r="X760" s="187" t="str">
        <f ca="1">Sprache!$A$70</f>
        <v>соединение с древесиной</v>
      </c>
      <c r="Y760" s="187" t="str">
        <f ca="1">Sprache!$A$136</f>
        <v>nein</v>
      </c>
      <c r="Z760" s="187" t="str">
        <f ca="1">Sprache!$A$79</f>
        <v>Створка</v>
      </c>
      <c r="AA760" s="187">
        <v>540</v>
      </c>
      <c r="AB760" s="201">
        <v>569</v>
      </c>
      <c r="AC760" s="187"/>
      <c r="AD760" s="195">
        <v>2</v>
      </c>
      <c r="AE760" s="205">
        <v>6</v>
      </c>
      <c r="AF760" s="263" t="str">
        <f>MID(Tabelle2[[#This Row],[bnr full]],1,4)</f>
        <v>F152</v>
      </c>
      <c r="AG760" s="267" t="str">
        <f>MID(Tabelle2[[#This Row],[bnr full]],5,3)</f>
        <v>000</v>
      </c>
      <c r="AH760" s="268" t="str">
        <f>MID(Tabelle2[[#This Row],[bnr full]],8,3)</f>
        <v>255</v>
      </c>
      <c r="AI760" s="286" t="str">
        <f>MID(Tabelle2[[#This Row],[bnr full]],11,3)</f>
        <v>201</v>
      </c>
      <c r="AJ760" s="248" t="str">
        <f>MID(Tabelle2[[#This Row],[bnr full]],11,3)</f>
        <v>201</v>
      </c>
      <c r="AK760" s="284" t="s">
        <v>809</v>
      </c>
      <c r="AL760" s="187" t="str">
        <f ca="1">Sprache!$A$111</f>
        <v>Комплект (Л + П)</v>
      </c>
      <c r="AM760" s="187" t="s">
        <v>25</v>
      </c>
      <c r="AN760" s="187" t="str">
        <f ca="1">Sprache!$A$120</f>
        <v>Силовой механизм A</v>
      </c>
      <c r="AO760" s="187" t="s">
        <v>25</v>
      </c>
      <c r="AP760" s="187" t="s">
        <v>25</v>
      </c>
      <c r="AQ760" s="187">
        <v>450</v>
      </c>
      <c r="AR760" s="201">
        <v>1200</v>
      </c>
      <c r="AS760" s="187"/>
      <c r="AT760" s="124"/>
      <c r="AV760"/>
      <c r="AX760" s="10"/>
      <c r="AY760" s="11"/>
      <c r="AZ760" s="2"/>
      <c r="BC760"/>
    </row>
    <row r="761" spans="1:55" hidden="1" x14ac:dyDescent="0.25">
      <c r="A761" s="12" t="str">
        <f ca="1">IF(F761+G761+H761+I761+J761+D761+E761=3,IF(Tabelle2[[#This Row],[Kappe Weiß]]=Limits!$R$29,1,""),"")</f>
        <v/>
      </c>
      <c r="B761" s="282" t="str">
        <f ca="1">IF(G761+H761+I761+J761+E761+F761=2,IF(Tabelle2[[#This Row],[Kappe Weiß]]=Limits!$R$29,1,""),"")</f>
        <v/>
      </c>
      <c r="C761" s="291">
        <v>1</v>
      </c>
      <c r="D761" s="171">
        <f>IF(Limits!$P$5=TRUE,1,0)</f>
        <v>0</v>
      </c>
      <c r="E761" s="172">
        <f>IF(Daten!$P761+Daten!$Q761+Daten!$S761=3,1,0)</f>
        <v>0</v>
      </c>
      <c r="F761" s="173">
        <f ca="1">IF(AND(Limits!$Q$21=TRUE,Daten!O761=1)=TRUE,1,0)</f>
        <v>1</v>
      </c>
      <c r="G761" s="174">
        <f ca="1">IF(AND(Limits!$Q$25=TRUE,Daten!N761=1)=TRUE,1,0)</f>
        <v>0</v>
      </c>
      <c r="H761" s="174">
        <f ca="1">IF(AND(Limits!$Q$24=TRUE,Daten!M761=1)=TRUE,1,0)</f>
        <v>0</v>
      </c>
      <c r="I761" s="174">
        <f ca="1">IF(AND(Limits!$Q$23=TRUE,Daten!L761=1)=TRUE,1,0)</f>
        <v>0</v>
      </c>
      <c r="J761" s="174">
        <f ca="1">IF(AND(Limits!$Q$22=TRUE,Daten!K761=1)=TRUE,1,0)</f>
        <v>0</v>
      </c>
      <c r="K761" s="188">
        <f ca="1">IF(Daten!$V761=13,1,0)</f>
        <v>0</v>
      </c>
      <c r="L761" s="189">
        <f ca="1">IF(Daten!$V761&lt;&gt;Daten!$W761,1,IF(Daten!$V761=14,1,0))</f>
        <v>0</v>
      </c>
      <c r="M761" s="189">
        <f ca="1">IF(Daten!$V761&lt;&gt;Daten!$W761,1,IF(Daten!$V761=16,1,0))</f>
        <v>0</v>
      </c>
      <c r="N761" s="189">
        <f ca="1">IF(Daten!$W761=17,1,0)</f>
        <v>0</v>
      </c>
      <c r="O761" s="190">
        <f ca="1">IF(Daten!$X761=Sprache!$A$70,1,0)</f>
        <v>1</v>
      </c>
      <c r="P761" s="191">
        <f>IF(AND(Daten!$AQ761&lt;=KINVARO!$AW$3,Daten!$AR761&gt;=KINVARO!$AW$3)=TRUE,1,0)</f>
        <v>1</v>
      </c>
      <c r="Q761" s="192">
        <f>IF(AND(Daten!$AA761&lt;=KINVARO!$AW$4,Daten!$AB761&gt;=KINVARO!$AW$4)=TRUE,1,0)</f>
        <v>0</v>
      </c>
      <c r="R761" s="192"/>
      <c r="S761" s="192">
        <f>IF(AND(Daten!$AD761&lt;=Limits!$I$70,Daten!$AE761&gt;=Limits!$I$70)=TRUE,1,0)</f>
        <v>1</v>
      </c>
      <c r="T761" s="193">
        <f ca="1">IF(Daten!$Y761=Sprache!$A$135,1,0)</f>
        <v>0</v>
      </c>
      <c r="U761" s="124" t="str">
        <f ca="1">Sprache!$A$69</f>
        <v>S-35 Откидной подъемник</v>
      </c>
      <c r="V761" s="194" t="str">
        <f ca="1">Sprache!$A$74</f>
        <v>var</v>
      </c>
      <c r="W761" s="193" t="str">
        <f ca="1">Sprache!$A$74</f>
        <v>var</v>
      </c>
      <c r="X761" s="187" t="str">
        <f ca="1">Sprache!$A$70</f>
        <v>соединение с древесиной</v>
      </c>
      <c r="Y761" s="187" t="str">
        <f ca="1">Sprache!$A$136</f>
        <v>nein</v>
      </c>
      <c r="Z761" s="187" t="str">
        <f ca="1">Sprache!$A$79</f>
        <v>Створка</v>
      </c>
      <c r="AA761" s="187">
        <v>540</v>
      </c>
      <c r="AB761" s="124">
        <v>569</v>
      </c>
      <c r="AC761" s="187"/>
      <c r="AD761" s="195">
        <v>5</v>
      </c>
      <c r="AE761" s="196">
        <v>12.5</v>
      </c>
      <c r="AF761" s="263" t="str">
        <f>MID(Tabelle2[[#This Row],[bnr full]],1,4)</f>
        <v>F152</v>
      </c>
      <c r="AG761" s="264" t="str">
        <f>MID(Tabelle2[[#This Row],[bnr full]],5,3)</f>
        <v>000</v>
      </c>
      <c r="AH761" s="265" t="str">
        <f>MID(Tabelle2[[#This Row],[bnr full]],8,3)</f>
        <v>256</v>
      </c>
      <c r="AI761" s="283" t="str">
        <f>MID(Tabelle2[[#This Row],[bnr full]],11,3)</f>
        <v>201</v>
      </c>
      <c r="AJ761" s="247" t="str">
        <f>MID(Tabelle2[[#This Row],[bnr full]],11,3)</f>
        <v>201</v>
      </c>
      <c r="AK761" s="284" t="s">
        <v>810</v>
      </c>
      <c r="AL761" s="187" t="str">
        <f ca="1">Sprache!$A$111</f>
        <v>Комплект (Л + П)</v>
      </c>
      <c r="AM761" s="187" t="s">
        <v>25</v>
      </c>
      <c r="AN761" s="187" t="str">
        <f ca="1">Sprache!$A$121</f>
        <v>Силовой механизм B</v>
      </c>
      <c r="AO761" s="187" t="s">
        <v>25</v>
      </c>
      <c r="AP761" s="187" t="s">
        <v>25</v>
      </c>
      <c r="AQ761" s="187">
        <v>450</v>
      </c>
      <c r="AR761" s="124">
        <v>1200</v>
      </c>
      <c r="AS761" s="187"/>
      <c r="AT761" s="124"/>
      <c r="AV761"/>
      <c r="AX761" s="10"/>
      <c r="AY761" s="11"/>
      <c r="AZ761" s="2"/>
      <c r="BC761"/>
    </row>
    <row r="762" spans="1:55" hidden="1" x14ac:dyDescent="0.25">
      <c r="A762" s="12" t="str">
        <f ca="1">IF(F762+G762+H762+I762+J762+D762+E762=3,IF(Tabelle2[[#This Row],[Kappe Weiß]]=Limits!$R$29,1,""),"")</f>
        <v/>
      </c>
      <c r="B762" s="282" t="str">
        <f ca="1">IF(G762+H762+I762+J762+E762+F762=2,IF(Tabelle2[[#This Row],[Kappe Weiß]]=Limits!$R$29,1,""),"")</f>
        <v/>
      </c>
      <c r="C762" s="291">
        <v>1</v>
      </c>
      <c r="D762" s="171">
        <f>IF(Limits!$P$5=TRUE,1,0)</f>
        <v>0</v>
      </c>
      <c r="E762" s="172">
        <f>IF(Daten!$P762+Daten!$Q762+Daten!$S762=3,1,0)</f>
        <v>0</v>
      </c>
      <c r="F762" s="173">
        <f ca="1">IF(AND(Limits!$Q$21=TRUE,Daten!O762=1)=TRUE,1,0)</f>
        <v>1</v>
      </c>
      <c r="G762" s="174">
        <f ca="1">IF(AND(Limits!$Q$25=TRUE,Daten!N762=1)=TRUE,1,0)</f>
        <v>0</v>
      </c>
      <c r="H762" s="174">
        <f ca="1">IF(AND(Limits!$Q$24=TRUE,Daten!M762=1)=TRUE,1,0)</f>
        <v>0</v>
      </c>
      <c r="I762" s="174">
        <f ca="1">IF(AND(Limits!$Q$23=TRUE,Daten!L762=1)=TRUE,1,0)</f>
        <v>0</v>
      </c>
      <c r="J762" s="174">
        <f ca="1">IF(AND(Limits!$Q$22=TRUE,Daten!K762=1)=TRUE,1,0)</f>
        <v>0</v>
      </c>
      <c r="K762" s="188">
        <f ca="1">IF(Daten!$V762=13,1,0)</f>
        <v>0</v>
      </c>
      <c r="L762" s="189">
        <f ca="1">IF(Daten!$V762&lt;&gt;Daten!$W762,1,IF(Daten!$V762=14,1,0))</f>
        <v>0</v>
      </c>
      <c r="M762" s="189">
        <f ca="1">IF(Daten!$V762&lt;&gt;Daten!$W762,1,IF(Daten!$V762=16,1,0))</f>
        <v>0</v>
      </c>
      <c r="N762" s="189">
        <f ca="1">IF(Daten!$W762=17,1,0)</f>
        <v>0</v>
      </c>
      <c r="O762" s="190">
        <f ca="1">IF(Daten!$X762=Sprache!$A$70,1,0)</f>
        <v>1</v>
      </c>
      <c r="P762" s="191">
        <f>IF(AND(Daten!$AQ762&lt;=KINVARO!$AW$3,Daten!$AR762&gt;=KINVARO!$AW$3)=TRUE,1,0)</f>
        <v>1</v>
      </c>
      <c r="Q762" s="192">
        <f>IF(AND(Daten!$AA762&lt;=KINVARO!$AW$4,Daten!$AB762&gt;=KINVARO!$AW$4)=TRUE,1,0)</f>
        <v>0</v>
      </c>
      <c r="R762" s="192"/>
      <c r="S762" s="192">
        <f>IF(AND(Daten!$AD762&lt;=Limits!$I$70,Daten!$AE762&gt;=Limits!$I$70)=TRUE,1,0)</f>
        <v>1</v>
      </c>
      <c r="T762" s="193">
        <f ca="1">IF(Daten!$Y762=Sprache!$A$135,1,0)</f>
        <v>0</v>
      </c>
      <c r="U762" s="124" t="str">
        <f ca="1">Sprache!$A$69</f>
        <v>S-35 Откидной подъемник</v>
      </c>
      <c r="V762" s="194" t="str">
        <f ca="1">Sprache!$A$74</f>
        <v>var</v>
      </c>
      <c r="W762" s="193" t="str">
        <f ca="1">Sprache!$A$74</f>
        <v>var</v>
      </c>
      <c r="X762" s="187" t="str">
        <f ca="1">Sprache!$A$70</f>
        <v>соединение с древесиной</v>
      </c>
      <c r="Y762" s="187" t="str">
        <f ca="1">Sprache!$A$136</f>
        <v>nein</v>
      </c>
      <c r="Z762" s="187" t="str">
        <f ca="1">Sprache!$A$79</f>
        <v>Створка</v>
      </c>
      <c r="AA762" s="187">
        <v>540</v>
      </c>
      <c r="AB762" s="124">
        <v>569</v>
      </c>
      <c r="AC762" s="187"/>
      <c r="AD762" s="195">
        <v>6</v>
      </c>
      <c r="AE762" s="196">
        <v>14</v>
      </c>
      <c r="AF762" s="263" t="str">
        <f>MID(Tabelle2[[#This Row],[bnr full]],1,4)</f>
        <v>F152</v>
      </c>
      <c r="AG762" s="264" t="str">
        <f>MID(Tabelle2[[#This Row],[bnr full]],5,3)</f>
        <v>000</v>
      </c>
      <c r="AH762" s="265" t="str">
        <f>MID(Tabelle2[[#This Row],[bnr full]],8,3)</f>
        <v>257</v>
      </c>
      <c r="AI762" s="283" t="str">
        <f>MID(Tabelle2[[#This Row],[bnr full]],11,3)</f>
        <v>201</v>
      </c>
      <c r="AJ762" s="247" t="str">
        <f>MID(Tabelle2[[#This Row],[bnr full]],11,3)</f>
        <v>201</v>
      </c>
      <c r="AK762" s="284" t="s">
        <v>811</v>
      </c>
      <c r="AL762" s="187" t="str">
        <f ca="1">Sprache!$A$111</f>
        <v>Комплект (Л + П)</v>
      </c>
      <c r="AM762" s="187" t="s">
        <v>25</v>
      </c>
      <c r="AN762" s="187" t="str">
        <f ca="1">Sprache!$A$122</f>
        <v>Силовой механизм C</v>
      </c>
      <c r="AO762" s="187" t="s">
        <v>25</v>
      </c>
      <c r="AP762" s="187" t="s">
        <v>25</v>
      </c>
      <c r="AQ762" s="187">
        <v>450</v>
      </c>
      <c r="AR762" s="124">
        <v>1200</v>
      </c>
      <c r="AS762" s="187"/>
      <c r="AT762" s="124"/>
      <c r="AV762"/>
      <c r="AX762" s="10"/>
      <c r="AY762" s="11"/>
      <c r="AZ762" s="2"/>
      <c r="BC762"/>
    </row>
    <row r="763" spans="1:55" hidden="1" x14ac:dyDescent="0.25">
      <c r="A763" s="12" t="str">
        <f ca="1">IF(F763+G763+H763+I763+J763+D763+E763=3,IF(Tabelle2[[#This Row],[Kappe Weiß]]=Limits!$R$29,1,""),"")</f>
        <v/>
      </c>
      <c r="B763" s="282" t="str">
        <f ca="1">IF(G763+H763+I763+J763+E763+F763=2,IF(Tabelle2[[#This Row],[Kappe Weiß]]=Limits!$R$29,1,""),"")</f>
        <v/>
      </c>
      <c r="C763" s="291">
        <v>1</v>
      </c>
      <c r="D763" s="171">
        <f>IF(Limits!$P$5=TRUE,1,0)</f>
        <v>0</v>
      </c>
      <c r="E763" s="172">
        <f>IF(Daten!$P763+Daten!$Q763+Daten!$S763=3,1,0)</f>
        <v>0</v>
      </c>
      <c r="F763" s="173">
        <f ca="1">IF(AND(Limits!$Q$21=TRUE,Daten!O763=1)=TRUE,1,0)</f>
        <v>0</v>
      </c>
      <c r="G763" s="174">
        <f>IF(AND(Limits!$Q$25=TRUE,Daten!N763=1)=TRUE,1,0)</f>
        <v>0</v>
      </c>
      <c r="H763" s="174">
        <f>IF(AND(Limits!$Q$24=TRUE,Daten!M763=1)=TRUE,1,0)</f>
        <v>0</v>
      </c>
      <c r="I763" s="174">
        <f>IF(AND(Limits!$Q$23=TRUE,Daten!L763=1)=TRUE,1,0)</f>
        <v>0</v>
      </c>
      <c r="J763" s="174">
        <f>IF(AND(Limits!$Q$22=TRUE,Daten!K763=1)=TRUE,1,0)</f>
        <v>0</v>
      </c>
      <c r="K763" s="188">
        <f>IF(Daten!$V763=13,1,0)</f>
        <v>1</v>
      </c>
      <c r="L763" s="189">
        <f>IF(Daten!$V763&lt;&gt;Daten!$W763,1,IF(Daten!$V763=14,1,0))</f>
        <v>1</v>
      </c>
      <c r="M763" s="189">
        <f>IF(Daten!$V763&lt;&gt;Daten!$W763,1,IF(Daten!$V763=16,1,0))</f>
        <v>1</v>
      </c>
      <c r="N763" s="189">
        <f>IF(Daten!$W763=17,1,0)</f>
        <v>1</v>
      </c>
      <c r="O763" s="190">
        <f ca="1">IF(Daten!$X763=Sprache!$A$70,1,0)</f>
        <v>0</v>
      </c>
      <c r="P763" s="191">
        <f>IF(AND(Daten!$AQ763&lt;=KINVARO!$AW$3,Daten!$AR763&gt;=KINVARO!$AW$3)=TRUE,1,0)</f>
        <v>1</v>
      </c>
      <c r="Q763" s="192">
        <f>IF(AND(Daten!$AA763&lt;=KINVARO!$AW$4,Daten!$AB763&gt;=KINVARO!$AW$4)=TRUE,1,0)</f>
        <v>0</v>
      </c>
      <c r="R763" s="192"/>
      <c r="S763" s="192">
        <f>IF(AND(Daten!$AD763&lt;=Limits!$I$70,Daten!$AE763&gt;=Limits!$I$70)=TRUE,1,0)</f>
        <v>0</v>
      </c>
      <c r="T763" s="193">
        <f ca="1">IF(Daten!$Y763=Sprache!$A$135,1,0)</f>
        <v>0</v>
      </c>
      <c r="U763" s="124" t="str">
        <f ca="1">Sprache!$A$69</f>
        <v>S-35 Откидной подъемник</v>
      </c>
      <c r="V763" s="194">
        <v>13</v>
      </c>
      <c r="W763" s="193">
        <v>17</v>
      </c>
      <c r="X763" s="187" t="str">
        <f ca="1">Sprache!$A$142</f>
        <v>Alu (Rahmen 19mm)</v>
      </c>
      <c r="Y763" s="187" t="str">
        <f ca="1">Sprache!$A$136</f>
        <v>nein</v>
      </c>
      <c r="Z763" s="187" t="str">
        <f ca="1">Sprache!$A$79</f>
        <v>Створка</v>
      </c>
      <c r="AA763" s="187">
        <v>540</v>
      </c>
      <c r="AB763" s="124">
        <v>569</v>
      </c>
      <c r="AC763" s="187"/>
      <c r="AD763" s="195">
        <v>2</v>
      </c>
      <c r="AE763" s="196">
        <v>6</v>
      </c>
      <c r="AF763" s="263" t="str">
        <f>MID(Tabelle2[[#This Row],[bnr full]],1,4)</f>
        <v>F152</v>
      </c>
      <c r="AG763" s="264" t="str">
        <f>MID(Tabelle2[[#This Row],[bnr full]],5,3)</f>
        <v>000</v>
      </c>
      <c r="AH763" s="265" t="str">
        <f>MID(Tabelle2[[#This Row],[bnr full]],8,3)</f>
        <v>255</v>
      </c>
      <c r="AI763" s="283" t="str">
        <f>MID(Tabelle2[[#This Row],[bnr full]],11,3)</f>
        <v>201</v>
      </c>
      <c r="AJ763" s="247" t="str">
        <f>MID(Tabelle2[[#This Row],[bnr full]],11,3)</f>
        <v>201</v>
      </c>
      <c r="AK763" s="284" t="s">
        <v>809</v>
      </c>
      <c r="AL763" s="187" t="str">
        <f ca="1">Sprache!$A$111</f>
        <v>Комплект (Л + П)</v>
      </c>
      <c r="AM763" s="187" t="s">
        <v>25</v>
      </c>
      <c r="AN763" s="187" t="str">
        <f ca="1">Sprache!$A$120</f>
        <v>Силовой механизм A</v>
      </c>
      <c r="AO763" s="187" t="str">
        <f ca="1">Sprache!$A$147</f>
        <v>Адаптер под алюминиевые рамки к комплекту Kinvaro S-35</v>
      </c>
      <c r="AP763" s="187" t="s">
        <v>814</v>
      </c>
      <c r="AQ763" s="187">
        <v>450</v>
      </c>
      <c r="AR763" s="124">
        <v>1200</v>
      </c>
      <c r="AS763" s="187"/>
      <c r="AT763" s="124"/>
      <c r="AV763"/>
      <c r="AX763" s="10"/>
      <c r="AY763" s="11"/>
      <c r="AZ763" s="2"/>
      <c r="BC763"/>
    </row>
    <row r="764" spans="1:55" hidden="1" x14ac:dyDescent="0.25">
      <c r="A764" s="12" t="str">
        <f ca="1">IF(F764+G764+H764+I764+J764+D764+E764=3,IF(Tabelle2[[#This Row],[Kappe Weiß]]=Limits!$R$29,1,""),"")</f>
        <v/>
      </c>
      <c r="B764" s="282" t="str">
        <f ca="1">IF(G764+H764+I764+J764+E764+F764=2,IF(Tabelle2[[#This Row],[Kappe Weiß]]=Limits!$R$29,1,""),"")</f>
        <v/>
      </c>
      <c r="C764" s="291">
        <v>1</v>
      </c>
      <c r="D764" s="171">
        <f>IF(Limits!$P$5=TRUE,1,0)</f>
        <v>0</v>
      </c>
      <c r="E764" s="172">
        <f>IF(Daten!$P764+Daten!$Q764+Daten!$S764=3,1,0)</f>
        <v>0</v>
      </c>
      <c r="F764" s="173">
        <f ca="1">IF(AND(Limits!$Q$21=TRUE,Daten!O764=1)=TRUE,1,0)</f>
        <v>0</v>
      </c>
      <c r="G764" s="174">
        <f>IF(AND(Limits!$Q$25=TRUE,Daten!N764=1)=TRUE,1,0)</f>
        <v>0</v>
      </c>
      <c r="H764" s="174">
        <f>IF(AND(Limits!$Q$24=TRUE,Daten!M764=1)=TRUE,1,0)</f>
        <v>0</v>
      </c>
      <c r="I764" s="174">
        <f>IF(AND(Limits!$Q$23=TRUE,Daten!L764=1)=TRUE,1,0)</f>
        <v>0</v>
      </c>
      <c r="J764" s="174">
        <f>IF(AND(Limits!$Q$22=TRUE,Daten!K764=1)=TRUE,1,0)</f>
        <v>0</v>
      </c>
      <c r="K764" s="188">
        <f>IF(Daten!$V764=13,1,0)</f>
        <v>1</v>
      </c>
      <c r="L764" s="189">
        <f>IF(Daten!$V764&lt;&gt;Daten!$W764,1,IF(Daten!$V764=14,1,0))</f>
        <v>1</v>
      </c>
      <c r="M764" s="189">
        <f>IF(Daten!$V764&lt;&gt;Daten!$W764,1,IF(Daten!$V764=16,1,0))</f>
        <v>1</v>
      </c>
      <c r="N764" s="189">
        <f>IF(Daten!$W764=17,1,0)</f>
        <v>1</v>
      </c>
      <c r="O764" s="190">
        <f ca="1">IF(Daten!$X764=Sprache!$A$70,1,0)</f>
        <v>0</v>
      </c>
      <c r="P764" s="191">
        <f>IF(AND(Daten!$AQ764&lt;=KINVARO!$AW$3,Daten!$AR764&gt;=KINVARO!$AW$3)=TRUE,1,0)</f>
        <v>1</v>
      </c>
      <c r="Q764" s="192">
        <f>IF(AND(Daten!$AA764&lt;=KINVARO!$AW$4,Daten!$AB764&gt;=KINVARO!$AW$4)=TRUE,1,0)</f>
        <v>0</v>
      </c>
      <c r="R764" s="192"/>
      <c r="S764" s="192">
        <f>IF(AND(Daten!$AD764&lt;=Limits!$I$70,Daten!$AE764&gt;=Limits!$I$70)=TRUE,1,0)</f>
        <v>1</v>
      </c>
      <c r="T764" s="193">
        <f ca="1">IF(Daten!$Y764=Sprache!$A$135,1,0)</f>
        <v>0</v>
      </c>
      <c r="U764" s="124" t="str">
        <f ca="1">Sprache!$A$69</f>
        <v>S-35 Откидной подъемник</v>
      </c>
      <c r="V764" s="194">
        <v>13</v>
      </c>
      <c r="W764" s="193">
        <v>17</v>
      </c>
      <c r="X764" s="187" t="str">
        <f ca="1">Sprache!$A$142</f>
        <v>Alu (Rahmen 19mm)</v>
      </c>
      <c r="Y764" s="187" t="str">
        <f ca="1">Sprache!$A$136</f>
        <v>nein</v>
      </c>
      <c r="Z764" s="187" t="str">
        <f ca="1">Sprache!$A$79</f>
        <v>Створка</v>
      </c>
      <c r="AA764" s="187">
        <v>540</v>
      </c>
      <c r="AB764" s="124">
        <v>569</v>
      </c>
      <c r="AC764" s="187"/>
      <c r="AD764" s="195">
        <v>5</v>
      </c>
      <c r="AE764" s="196">
        <v>12.5</v>
      </c>
      <c r="AF764" s="263" t="str">
        <f>MID(Tabelle2[[#This Row],[bnr full]],1,4)</f>
        <v>F152</v>
      </c>
      <c r="AG764" s="264" t="str">
        <f>MID(Tabelle2[[#This Row],[bnr full]],5,3)</f>
        <v>000</v>
      </c>
      <c r="AH764" s="265" t="str">
        <f>MID(Tabelle2[[#This Row],[bnr full]],8,3)</f>
        <v>256</v>
      </c>
      <c r="AI764" s="283" t="str">
        <f>MID(Tabelle2[[#This Row],[bnr full]],11,3)</f>
        <v>201</v>
      </c>
      <c r="AJ764" s="247" t="str">
        <f>MID(Tabelle2[[#This Row],[bnr full]],11,3)</f>
        <v>201</v>
      </c>
      <c r="AK764" s="284" t="s">
        <v>810</v>
      </c>
      <c r="AL764" s="187" t="str">
        <f ca="1">Sprache!$A$111</f>
        <v>Комплект (Л + П)</v>
      </c>
      <c r="AM764" s="187" t="s">
        <v>25</v>
      </c>
      <c r="AN764" s="187" t="str">
        <f ca="1">Sprache!$A$121</f>
        <v>Силовой механизм B</v>
      </c>
      <c r="AO764" s="187" t="str">
        <f ca="1">Sprache!$A$147</f>
        <v>Адаптер под алюминиевые рамки к комплекту Kinvaro S-35</v>
      </c>
      <c r="AP764" s="187" t="s">
        <v>814</v>
      </c>
      <c r="AQ764" s="187">
        <v>450</v>
      </c>
      <c r="AR764" s="124">
        <v>1200</v>
      </c>
      <c r="AS764" s="187"/>
      <c r="AT764" s="124"/>
      <c r="AV764"/>
      <c r="AX764" s="10"/>
      <c r="AY764" s="11"/>
      <c r="AZ764" s="2"/>
      <c r="BC764"/>
    </row>
    <row r="765" spans="1:55" hidden="1" x14ac:dyDescent="0.25">
      <c r="A765" s="12" t="str">
        <f ca="1">IF(F765+G765+H765+I765+J765+D765+E765=3,IF(Tabelle2[[#This Row],[Kappe Weiß]]=Limits!$R$29,1,""),"")</f>
        <v/>
      </c>
      <c r="B765" s="282" t="str">
        <f ca="1">IF(G765+H765+I765+J765+E765+F765=2,IF(Tabelle2[[#This Row],[Kappe Weiß]]=Limits!$R$29,1,""),"")</f>
        <v/>
      </c>
      <c r="C765" s="291">
        <v>1</v>
      </c>
      <c r="D765" s="171">
        <f>IF(Limits!$P$5=TRUE,1,0)</f>
        <v>0</v>
      </c>
      <c r="E765" s="172">
        <f>IF(Daten!$P765+Daten!$Q765+Daten!$S765=3,1,0)</f>
        <v>0</v>
      </c>
      <c r="F765" s="173">
        <f ca="1">IF(AND(Limits!$Q$21=TRUE,Daten!O765=1)=TRUE,1,0)</f>
        <v>0</v>
      </c>
      <c r="G765" s="174">
        <f>IF(AND(Limits!$Q$25=TRUE,Daten!N765=1)=TRUE,1,0)</f>
        <v>0</v>
      </c>
      <c r="H765" s="174">
        <f>IF(AND(Limits!$Q$24=TRUE,Daten!M765=1)=TRUE,1,0)</f>
        <v>0</v>
      </c>
      <c r="I765" s="174">
        <f>IF(AND(Limits!$Q$23=TRUE,Daten!L765=1)=TRUE,1,0)</f>
        <v>0</v>
      </c>
      <c r="J765" s="174">
        <f>IF(AND(Limits!$Q$22=TRUE,Daten!K765=1)=TRUE,1,0)</f>
        <v>0</v>
      </c>
      <c r="K765" s="188">
        <f>IF(Daten!$V765=13,1,0)</f>
        <v>1</v>
      </c>
      <c r="L765" s="189">
        <f>IF(Daten!$V765&lt;&gt;Daten!$W765,1,IF(Daten!$V765=14,1,0))</f>
        <v>1</v>
      </c>
      <c r="M765" s="189">
        <f>IF(Daten!$V765&lt;&gt;Daten!$W765,1,IF(Daten!$V765=16,1,0))</f>
        <v>1</v>
      </c>
      <c r="N765" s="189">
        <f>IF(Daten!$W765=17,1,0)</f>
        <v>1</v>
      </c>
      <c r="O765" s="190">
        <f ca="1">IF(Daten!$X765=Sprache!$A$70,1,0)</f>
        <v>0</v>
      </c>
      <c r="P765" s="191">
        <f>IF(AND(Daten!$AQ765&lt;=KINVARO!$AW$3,Daten!$AR765&gt;=KINVARO!$AW$3)=TRUE,1,0)</f>
        <v>1</v>
      </c>
      <c r="Q765" s="192">
        <f>IF(AND(Daten!$AA765&lt;=KINVARO!$AW$4,Daten!$AB765&gt;=KINVARO!$AW$4)=TRUE,1,0)</f>
        <v>0</v>
      </c>
      <c r="R765" s="192"/>
      <c r="S765" s="192">
        <f>IF(AND(Daten!$AD765&lt;=Limits!$I$70,Daten!$AE765&gt;=Limits!$I$70)=TRUE,1,0)</f>
        <v>1</v>
      </c>
      <c r="T765" s="193">
        <f ca="1">IF(Daten!$Y765=Sprache!$A$135,1,0)</f>
        <v>0</v>
      </c>
      <c r="U765" s="124" t="str">
        <f ca="1">Sprache!$A$69</f>
        <v>S-35 Откидной подъемник</v>
      </c>
      <c r="V765" s="194">
        <v>13</v>
      </c>
      <c r="W765" s="193">
        <v>17</v>
      </c>
      <c r="X765" s="187" t="str">
        <f ca="1">Sprache!$A$142</f>
        <v>Alu (Rahmen 19mm)</v>
      </c>
      <c r="Y765" s="187" t="str">
        <f ca="1">Sprache!$A$136</f>
        <v>nein</v>
      </c>
      <c r="Z765" s="187" t="str">
        <f ca="1">Sprache!$A$79</f>
        <v>Створка</v>
      </c>
      <c r="AA765" s="187">
        <v>540</v>
      </c>
      <c r="AB765" s="124">
        <v>569</v>
      </c>
      <c r="AC765" s="187"/>
      <c r="AD765" s="195">
        <v>6</v>
      </c>
      <c r="AE765" s="196">
        <v>14</v>
      </c>
      <c r="AF765" s="263" t="str">
        <f>MID(Tabelle2[[#This Row],[bnr full]],1,4)</f>
        <v>F152</v>
      </c>
      <c r="AG765" s="264" t="str">
        <f>MID(Tabelle2[[#This Row],[bnr full]],5,3)</f>
        <v>000</v>
      </c>
      <c r="AH765" s="265" t="str">
        <f>MID(Tabelle2[[#This Row],[bnr full]],8,3)</f>
        <v>257</v>
      </c>
      <c r="AI765" s="283" t="str">
        <f>MID(Tabelle2[[#This Row],[bnr full]],11,3)</f>
        <v>201</v>
      </c>
      <c r="AJ765" s="247" t="str">
        <f>MID(Tabelle2[[#This Row],[bnr full]],11,3)</f>
        <v>201</v>
      </c>
      <c r="AK765" s="284" t="s">
        <v>811</v>
      </c>
      <c r="AL765" s="187" t="str">
        <f ca="1">Sprache!$A$111</f>
        <v>Комплект (Л + П)</v>
      </c>
      <c r="AM765" s="187" t="s">
        <v>25</v>
      </c>
      <c r="AN765" s="187" t="str">
        <f ca="1">Sprache!$A$122</f>
        <v>Силовой механизм C</v>
      </c>
      <c r="AO765" s="187" t="str">
        <f ca="1">Sprache!$A$147</f>
        <v>Адаптер под алюминиевые рамки к комплекту Kinvaro S-35</v>
      </c>
      <c r="AP765" s="187" t="s">
        <v>814</v>
      </c>
      <c r="AQ765" s="187">
        <v>450</v>
      </c>
      <c r="AR765" s="124">
        <v>1200</v>
      </c>
      <c r="AS765" s="187"/>
      <c r="AT765" s="124"/>
      <c r="AV765"/>
      <c r="AX765" s="10"/>
      <c r="AY765" s="11"/>
      <c r="AZ765" s="2"/>
      <c r="BC765"/>
    </row>
    <row r="766" spans="1:55" hidden="1" x14ac:dyDescent="0.25">
      <c r="A766" s="12" t="str">
        <f ca="1">IF(F766+G766+H766+I766+J766+D766+E766=3,IF(Tabelle2[[#This Row],[Kappe Weiß]]=Limits!$R$29,1,""),"")</f>
        <v/>
      </c>
      <c r="B766" s="282" t="str">
        <f ca="1">IF(G766+H766+I766+J766+E766+F766=2,IF(Tabelle2[[#This Row],[Kappe Weiß]]=Limits!$R$29,1,""),"")</f>
        <v/>
      </c>
      <c r="C766" s="292">
        <v>1</v>
      </c>
      <c r="D766" s="171">
        <f>IF(Limits!$P$5=TRUE,1,0)</f>
        <v>0</v>
      </c>
      <c r="E766" s="172">
        <f>IF(Daten!$P766+Daten!$Q766+Daten!$S766=3,1,0)</f>
        <v>0</v>
      </c>
      <c r="F766" s="173">
        <f ca="1">IF(AND(Limits!$Q$21=TRUE,Daten!O766=1)=TRUE,1,0)</f>
        <v>1</v>
      </c>
      <c r="G766" s="174">
        <f ca="1">IF(AND(Limits!$Q$25=TRUE,Daten!N766=1)=TRUE,1,0)</f>
        <v>0</v>
      </c>
      <c r="H766" s="174">
        <f ca="1">IF(AND(Limits!$Q$24=TRUE,Daten!M766=1)=TRUE,1,0)</f>
        <v>0</v>
      </c>
      <c r="I766" s="174">
        <f ca="1">IF(AND(Limits!$Q$23=TRUE,Daten!L766=1)=TRUE,1,0)</f>
        <v>0</v>
      </c>
      <c r="J766" s="174">
        <f ca="1">IF(AND(Limits!$Q$22=TRUE,Daten!K766=1)=TRUE,1,0)</f>
        <v>0</v>
      </c>
      <c r="K766" s="188">
        <f ca="1">IF(Daten!$V766=13,1,0)</f>
        <v>0</v>
      </c>
      <c r="L766" s="189">
        <f ca="1">IF(Daten!$V766&lt;&gt;Daten!$W766,1,IF(Daten!$V766=14,1,0))</f>
        <v>0</v>
      </c>
      <c r="M766" s="189">
        <f ca="1">IF(Daten!$V766&lt;&gt;Daten!$W766,1,IF(Daten!$V766=16,1,0))</f>
        <v>0</v>
      </c>
      <c r="N766" s="189">
        <f ca="1">IF(Daten!$W766=17,1,0)</f>
        <v>0</v>
      </c>
      <c r="O766" s="190">
        <f ca="1">IF(Daten!$X766=Sprache!$A$70,1,0)</f>
        <v>1</v>
      </c>
      <c r="P766" s="198">
        <f>IF(AND(Daten!$AQ766&lt;=KINVARO!$AW$3,Daten!$AR766&gt;=KINVARO!$AW$3)=TRUE,1,0)</f>
        <v>1</v>
      </c>
      <c r="Q766" s="199">
        <f>IF(AND(Daten!$AA766&lt;=KINVARO!$AW$4,Daten!$AB766&gt;=KINVARO!$AW$4)=TRUE,1,0)</f>
        <v>0</v>
      </c>
      <c r="R766" s="199"/>
      <c r="S766" s="199">
        <f>IF(AND(Daten!$AD766&lt;=Limits!$I$70,Daten!$AE766&gt;=Limits!$I$70)=TRUE,1,0)</f>
        <v>0</v>
      </c>
      <c r="T766" s="200">
        <f ca="1">IF(Daten!$Y766=Sprache!$A$135,1,0)</f>
        <v>0</v>
      </c>
      <c r="U766" s="201" t="str">
        <f ca="1">Sprache!$A$69</f>
        <v>S-35 Откидной подъемник</v>
      </c>
      <c r="V766" s="194" t="str">
        <f ca="1">Sprache!$A$74</f>
        <v>var</v>
      </c>
      <c r="W766" s="200" t="str">
        <f ca="1">Sprache!$A$74</f>
        <v>var</v>
      </c>
      <c r="X766" s="187" t="str">
        <f ca="1">Sprache!$A$70</f>
        <v>соединение с древесиной</v>
      </c>
      <c r="Y766" s="187" t="str">
        <f ca="1">Sprache!$A$136</f>
        <v>nein</v>
      </c>
      <c r="Z766" s="187" t="str">
        <f ca="1">Sprache!$A$79</f>
        <v>Створка</v>
      </c>
      <c r="AA766" s="187">
        <v>570</v>
      </c>
      <c r="AB766" s="201">
        <v>599</v>
      </c>
      <c r="AC766" s="187"/>
      <c r="AD766" s="195">
        <v>2</v>
      </c>
      <c r="AE766" s="205">
        <v>6</v>
      </c>
      <c r="AF766" s="263" t="str">
        <f>MID(Tabelle2[[#This Row],[bnr full]],1,4)</f>
        <v>F152</v>
      </c>
      <c r="AG766" s="267" t="str">
        <f>MID(Tabelle2[[#This Row],[bnr full]],5,3)</f>
        <v>000</v>
      </c>
      <c r="AH766" s="268" t="str">
        <f>MID(Tabelle2[[#This Row],[bnr full]],8,3)</f>
        <v>255</v>
      </c>
      <c r="AI766" s="286" t="str">
        <f>MID(Tabelle2[[#This Row],[bnr full]],11,3)</f>
        <v>201</v>
      </c>
      <c r="AJ766" s="248" t="str">
        <f>MID(Tabelle2[[#This Row],[bnr full]],11,3)</f>
        <v>201</v>
      </c>
      <c r="AK766" s="284" t="s">
        <v>809</v>
      </c>
      <c r="AL766" s="187" t="str">
        <f ca="1">Sprache!$A$111</f>
        <v>Комплект (Л + П)</v>
      </c>
      <c r="AM766" s="187" t="s">
        <v>25</v>
      </c>
      <c r="AN766" s="187" t="str">
        <f ca="1">Sprache!$A$120</f>
        <v>Силовой механизм A</v>
      </c>
      <c r="AO766" s="187" t="s">
        <v>25</v>
      </c>
      <c r="AP766" s="187" t="s">
        <v>25</v>
      </c>
      <c r="AQ766" s="187">
        <v>450</v>
      </c>
      <c r="AR766" s="201">
        <v>1200</v>
      </c>
      <c r="AS766" s="187"/>
      <c r="AT766" s="124"/>
      <c r="AV766"/>
      <c r="AX766" s="10"/>
      <c r="AY766" s="11"/>
      <c r="AZ766" s="2"/>
      <c r="BC766"/>
    </row>
    <row r="767" spans="1:55" hidden="1" x14ac:dyDescent="0.25">
      <c r="A767" s="12" t="str">
        <f ca="1">IF(F767+G767+H767+I767+J767+D767+E767=3,IF(Tabelle2[[#This Row],[Kappe Weiß]]=Limits!$R$29,1,""),"")</f>
        <v/>
      </c>
      <c r="B767" s="282" t="str">
        <f ca="1">IF(G767+H767+I767+J767+E767+F767=2,IF(Tabelle2[[#This Row],[Kappe Weiß]]=Limits!$R$29,1,""),"")</f>
        <v/>
      </c>
      <c r="C767" s="291">
        <v>1</v>
      </c>
      <c r="D767" s="171">
        <f>IF(Limits!$P$5=TRUE,1,0)</f>
        <v>0</v>
      </c>
      <c r="E767" s="172">
        <f>IF(Daten!$P767+Daten!$Q767+Daten!$S767=3,1,0)</f>
        <v>0</v>
      </c>
      <c r="F767" s="173">
        <f ca="1">IF(AND(Limits!$Q$21=TRUE,Daten!O767=1)=TRUE,1,0)</f>
        <v>1</v>
      </c>
      <c r="G767" s="174">
        <f ca="1">IF(AND(Limits!$Q$25=TRUE,Daten!N767=1)=TRUE,1,0)</f>
        <v>0</v>
      </c>
      <c r="H767" s="174">
        <f ca="1">IF(AND(Limits!$Q$24=TRUE,Daten!M767=1)=TRUE,1,0)</f>
        <v>0</v>
      </c>
      <c r="I767" s="174">
        <f ca="1">IF(AND(Limits!$Q$23=TRUE,Daten!L767=1)=TRUE,1,0)</f>
        <v>0</v>
      </c>
      <c r="J767" s="174">
        <f ca="1">IF(AND(Limits!$Q$22=TRUE,Daten!K767=1)=TRUE,1,0)</f>
        <v>0</v>
      </c>
      <c r="K767" s="188">
        <f ca="1">IF(Daten!$V767=13,1,0)</f>
        <v>0</v>
      </c>
      <c r="L767" s="189">
        <f ca="1">IF(Daten!$V767&lt;&gt;Daten!$W767,1,IF(Daten!$V767=14,1,0))</f>
        <v>0</v>
      </c>
      <c r="M767" s="189">
        <f ca="1">IF(Daten!$V767&lt;&gt;Daten!$W767,1,IF(Daten!$V767=16,1,0))</f>
        <v>0</v>
      </c>
      <c r="N767" s="189">
        <f ca="1">IF(Daten!$W767=17,1,0)</f>
        <v>0</v>
      </c>
      <c r="O767" s="190">
        <f ca="1">IF(Daten!$X767=Sprache!$A$70,1,0)</f>
        <v>1</v>
      </c>
      <c r="P767" s="191">
        <f>IF(AND(Daten!$AQ767&lt;=KINVARO!$AW$3,Daten!$AR767&gt;=KINVARO!$AW$3)=TRUE,1,0)</f>
        <v>1</v>
      </c>
      <c r="Q767" s="192">
        <f>IF(AND(Daten!$AA767&lt;=KINVARO!$AW$4,Daten!$AB767&gt;=KINVARO!$AW$4)=TRUE,1,0)</f>
        <v>0</v>
      </c>
      <c r="R767" s="192"/>
      <c r="S767" s="192">
        <f>IF(AND(Daten!$AD767&lt;=Limits!$I$70,Daten!$AE767&gt;=Limits!$I$70)=TRUE,1,0)</f>
        <v>1</v>
      </c>
      <c r="T767" s="193">
        <f ca="1">IF(Daten!$Y767=Sprache!$A$135,1,0)</f>
        <v>0</v>
      </c>
      <c r="U767" s="124" t="str">
        <f ca="1">Sprache!$A$69</f>
        <v>S-35 Откидной подъемник</v>
      </c>
      <c r="V767" s="194" t="str">
        <f ca="1">Sprache!$A$74</f>
        <v>var</v>
      </c>
      <c r="W767" s="193" t="str">
        <f ca="1">Sprache!$A$74</f>
        <v>var</v>
      </c>
      <c r="X767" s="187" t="str">
        <f ca="1">Sprache!$A$70</f>
        <v>соединение с древесиной</v>
      </c>
      <c r="Y767" s="187" t="str">
        <f ca="1">Sprache!$A$136</f>
        <v>nein</v>
      </c>
      <c r="Z767" s="187" t="str">
        <f ca="1">Sprache!$A$79</f>
        <v>Створка</v>
      </c>
      <c r="AA767" s="187">
        <v>570</v>
      </c>
      <c r="AB767" s="124">
        <v>599</v>
      </c>
      <c r="AC767" s="187"/>
      <c r="AD767" s="195">
        <v>5</v>
      </c>
      <c r="AE767" s="196">
        <v>11</v>
      </c>
      <c r="AF767" s="263" t="str">
        <f>MID(Tabelle2[[#This Row],[bnr full]],1,4)</f>
        <v>F152</v>
      </c>
      <c r="AG767" s="264" t="str">
        <f>MID(Tabelle2[[#This Row],[bnr full]],5,3)</f>
        <v>000</v>
      </c>
      <c r="AH767" s="265" t="str">
        <f>MID(Tabelle2[[#This Row],[bnr full]],8,3)</f>
        <v>256</v>
      </c>
      <c r="AI767" s="283" t="str">
        <f>MID(Tabelle2[[#This Row],[bnr full]],11,3)</f>
        <v>201</v>
      </c>
      <c r="AJ767" s="247" t="str">
        <f>MID(Tabelle2[[#This Row],[bnr full]],11,3)</f>
        <v>201</v>
      </c>
      <c r="AK767" s="284" t="s">
        <v>810</v>
      </c>
      <c r="AL767" s="187" t="str">
        <f ca="1">Sprache!$A$111</f>
        <v>Комплект (Л + П)</v>
      </c>
      <c r="AM767" s="187" t="s">
        <v>25</v>
      </c>
      <c r="AN767" s="187" t="str">
        <f ca="1">Sprache!$A$121</f>
        <v>Силовой механизм B</v>
      </c>
      <c r="AO767" s="187" t="s">
        <v>25</v>
      </c>
      <c r="AP767" s="187" t="s">
        <v>25</v>
      </c>
      <c r="AQ767" s="187">
        <v>450</v>
      </c>
      <c r="AR767" s="124">
        <v>1200</v>
      </c>
      <c r="AS767" s="187"/>
      <c r="AT767" s="124"/>
      <c r="AV767"/>
      <c r="AX767" s="10"/>
      <c r="AY767" s="11"/>
      <c r="AZ767" s="2"/>
      <c r="BC767"/>
    </row>
    <row r="768" spans="1:55" hidden="1" x14ac:dyDescent="0.25">
      <c r="A768" s="12" t="str">
        <f ca="1">IF(F768+G768+H768+I768+J768+D768+E768=3,IF(Tabelle2[[#This Row],[Kappe Weiß]]=Limits!$R$29,1,""),"")</f>
        <v/>
      </c>
      <c r="B768" s="282" t="str">
        <f ca="1">IF(G768+H768+I768+J768+E768+F768=2,IF(Tabelle2[[#This Row],[Kappe Weiß]]=Limits!$R$29,1,""),"")</f>
        <v/>
      </c>
      <c r="C768" s="291">
        <v>1</v>
      </c>
      <c r="D768" s="171">
        <f>IF(Limits!$P$5=TRUE,1,0)</f>
        <v>0</v>
      </c>
      <c r="E768" s="172">
        <f>IF(Daten!$P768+Daten!$Q768+Daten!$S768=3,1,0)</f>
        <v>0</v>
      </c>
      <c r="F768" s="173">
        <f ca="1">IF(AND(Limits!$Q$21=TRUE,Daten!O768=1)=TRUE,1,0)</f>
        <v>1</v>
      </c>
      <c r="G768" s="174">
        <f ca="1">IF(AND(Limits!$Q$25=TRUE,Daten!N768=1)=TRUE,1,0)</f>
        <v>0</v>
      </c>
      <c r="H768" s="174">
        <f ca="1">IF(AND(Limits!$Q$24=TRUE,Daten!M768=1)=TRUE,1,0)</f>
        <v>0</v>
      </c>
      <c r="I768" s="174">
        <f ca="1">IF(AND(Limits!$Q$23=TRUE,Daten!L768=1)=TRUE,1,0)</f>
        <v>0</v>
      </c>
      <c r="J768" s="174">
        <f ca="1">IF(AND(Limits!$Q$22=TRUE,Daten!K768=1)=TRUE,1,0)</f>
        <v>0</v>
      </c>
      <c r="K768" s="188">
        <f ca="1">IF(Daten!$V768=13,1,0)</f>
        <v>0</v>
      </c>
      <c r="L768" s="189">
        <f ca="1">IF(Daten!$V768&lt;&gt;Daten!$W768,1,IF(Daten!$V768=14,1,0))</f>
        <v>0</v>
      </c>
      <c r="M768" s="189">
        <f ca="1">IF(Daten!$V768&lt;&gt;Daten!$W768,1,IF(Daten!$V768=16,1,0))</f>
        <v>0</v>
      </c>
      <c r="N768" s="189">
        <f ca="1">IF(Daten!$W768=17,1,0)</f>
        <v>0</v>
      </c>
      <c r="O768" s="190">
        <f ca="1">IF(Daten!$X768=Sprache!$A$70,1,0)</f>
        <v>1</v>
      </c>
      <c r="P768" s="191">
        <f>IF(AND(Daten!$AQ768&lt;=KINVARO!$AW$3,Daten!$AR768&gt;=KINVARO!$AW$3)=TRUE,1,0)</f>
        <v>1</v>
      </c>
      <c r="Q768" s="192">
        <f>IF(AND(Daten!$AA768&lt;=KINVARO!$AW$4,Daten!$AB768&gt;=KINVARO!$AW$4)=TRUE,1,0)</f>
        <v>0</v>
      </c>
      <c r="R768" s="192"/>
      <c r="S768" s="192">
        <f>IF(AND(Daten!$AD768&lt;=Limits!$I$70,Daten!$AE768&gt;=Limits!$I$70)=TRUE,1,0)</f>
        <v>1</v>
      </c>
      <c r="T768" s="193">
        <f ca="1">IF(Daten!$Y768=Sprache!$A$135,1,0)</f>
        <v>0</v>
      </c>
      <c r="U768" s="124" t="str">
        <f ca="1">Sprache!$A$69</f>
        <v>S-35 Откидной подъемник</v>
      </c>
      <c r="V768" s="194" t="str">
        <f ca="1">Sprache!$A$74</f>
        <v>var</v>
      </c>
      <c r="W768" s="193" t="str">
        <f ca="1">Sprache!$A$74</f>
        <v>var</v>
      </c>
      <c r="X768" s="187" t="str">
        <f ca="1">Sprache!$A$70</f>
        <v>соединение с древесиной</v>
      </c>
      <c r="Y768" s="187" t="str">
        <f ca="1">Sprache!$A$136</f>
        <v>nein</v>
      </c>
      <c r="Z768" s="187" t="str">
        <f ca="1">Sprache!$A$79</f>
        <v>Створка</v>
      </c>
      <c r="AA768" s="187">
        <v>570</v>
      </c>
      <c r="AB768" s="124">
        <v>599</v>
      </c>
      <c r="AC768" s="187"/>
      <c r="AD768" s="195">
        <v>5.5</v>
      </c>
      <c r="AE768" s="196">
        <v>12</v>
      </c>
      <c r="AF768" s="263" t="str">
        <f>MID(Tabelle2[[#This Row],[bnr full]],1,4)</f>
        <v>F152</v>
      </c>
      <c r="AG768" s="264" t="str">
        <f>MID(Tabelle2[[#This Row],[bnr full]],5,3)</f>
        <v>000</v>
      </c>
      <c r="AH768" s="265" t="str">
        <f>MID(Tabelle2[[#This Row],[bnr full]],8,3)</f>
        <v>257</v>
      </c>
      <c r="AI768" s="283" t="str">
        <f>MID(Tabelle2[[#This Row],[bnr full]],11,3)</f>
        <v>201</v>
      </c>
      <c r="AJ768" s="247" t="str">
        <f>MID(Tabelle2[[#This Row],[bnr full]],11,3)</f>
        <v>201</v>
      </c>
      <c r="AK768" s="284" t="s">
        <v>811</v>
      </c>
      <c r="AL768" s="187" t="str">
        <f ca="1">Sprache!$A$111</f>
        <v>Комплект (Л + П)</v>
      </c>
      <c r="AM768" s="187" t="s">
        <v>25</v>
      </c>
      <c r="AN768" s="187" t="str">
        <f ca="1">Sprache!$A$122</f>
        <v>Силовой механизм C</v>
      </c>
      <c r="AO768" s="187" t="s">
        <v>25</v>
      </c>
      <c r="AP768" s="187" t="s">
        <v>25</v>
      </c>
      <c r="AQ768" s="187">
        <v>450</v>
      </c>
      <c r="AR768" s="124">
        <v>1200</v>
      </c>
      <c r="AS768" s="187"/>
      <c r="AT768" s="124"/>
      <c r="AV768"/>
      <c r="AX768" s="10"/>
      <c r="AY768" s="11"/>
      <c r="AZ768" s="2"/>
      <c r="BC768"/>
    </row>
    <row r="769" spans="1:55" hidden="1" x14ac:dyDescent="0.25">
      <c r="A769" s="12" t="str">
        <f ca="1">IF(F769+G769+H769+I769+J769+D769+E769=3,IF(Tabelle2[[#This Row],[Kappe Weiß]]=Limits!$R$29,1,""),"")</f>
        <v/>
      </c>
      <c r="B769" s="282" t="str">
        <f ca="1">IF(G769+H769+I769+J769+E769+F769=2,IF(Tabelle2[[#This Row],[Kappe Weiß]]=Limits!$R$29,1,""),"")</f>
        <v/>
      </c>
      <c r="C769" s="291">
        <v>1</v>
      </c>
      <c r="D769" s="171">
        <f>IF(Limits!$P$5=TRUE,1,0)</f>
        <v>0</v>
      </c>
      <c r="E769" s="172">
        <f>IF(Daten!$P769+Daten!$Q769+Daten!$S769=3,1,0)</f>
        <v>0</v>
      </c>
      <c r="F769" s="173">
        <f ca="1">IF(AND(Limits!$Q$21=TRUE,Daten!O769=1)=TRUE,1,0)</f>
        <v>1</v>
      </c>
      <c r="G769" s="174">
        <f ca="1">IF(AND(Limits!$Q$25=TRUE,Daten!N769=1)=TRUE,1,0)</f>
        <v>0</v>
      </c>
      <c r="H769" s="174">
        <f ca="1">IF(AND(Limits!$Q$24=TRUE,Daten!M769=1)=TRUE,1,0)</f>
        <v>0</v>
      </c>
      <c r="I769" s="174">
        <f ca="1">IF(AND(Limits!$Q$23=TRUE,Daten!L769=1)=TRUE,1,0)</f>
        <v>0</v>
      </c>
      <c r="J769" s="174">
        <f ca="1">IF(AND(Limits!$Q$22=TRUE,Daten!K769=1)=TRUE,1,0)</f>
        <v>0</v>
      </c>
      <c r="K769" s="188">
        <f ca="1">IF(Daten!$V769=13,1,0)</f>
        <v>0</v>
      </c>
      <c r="L769" s="189">
        <f ca="1">IF(Daten!$V769&lt;&gt;Daten!$W769,1,IF(Daten!$V769=14,1,0))</f>
        <v>0</v>
      </c>
      <c r="M769" s="189">
        <f ca="1">IF(Daten!$V769&lt;&gt;Daten!$W769,1,IF(Daten!$V769=16,1,0))</f>
        <v>0</v>
      </c>
      <c r="N769" s="189">
        <f ca="1">IF(Daten!$W769=17,1,0)</f>
        <v>0</v>
      </c>
      <c r="O769" s="190">
        <f ca="1">IF(Daten!$X769=Sprache!$A$70,1,0)</f>
        <v>1</v>
      </c>
      <c r="P769" s="191">
        <f>IF(AND(Daten!$AQ769&lt;=KINVARO!$AW$3,Daten!$AR769&gt;=KINVARO!$AW$3)=TRUE,1,0)</f>
        <v>1</v>
      </c>
      <c r="Q769" s="192">
        <f>IF(AND(Daten!$AA769&lt;=KINVARO!$AW$4,Daten!$AB769&gt;=KINVARO!$AW$4)=TRUE,1,0)</f>
        <v>0</v>
      </c>
      <c r="R769" s="192"/>
      <c r="S769" s="192">
        <f>IF(AND(Daten!$AD769&lt;=Limits!$I$70,Daten!$AE769&gt;=Limits!$I$70)=TRUE,1,0)</f>
        <v>0</v>
      </c>
      <c r="T769" s="193">
        <f ca="1">IF(Daten!$Y769=Sprache!$A$135,1,0)</f>
        <v>0</v>
      </c>
      <c r="U769" s="124" t="str">
        <f ca="1">Sprache!$A$69</f>
        <v>S-35 Откидной подъемник</v>
      </c>
      <c r="V769" s="194" t="str">
        <f ca="1">Sprache!$A$74</f>
        <v>var</v>
      </c>
      <c r="W769" s="193" t="str">
        <f ca="1">Sprache!$A$74</f>
        <v>var</v>
      </c>
      <c r="X769" s="187" t="str">
        <f ca="1">Sprache!$A$70</f>
        <v>соединение с древесиной</v>
      </c>
      <c r="Y769" s="187" t="str">
        <f ca="1">Sprache!$A$136</f>
        <v>nein</v>
      </c>
      <c r="Z769" s="187" t="str">
        <f ca="1">Sprache!$A$79</f>
        <v>Створка</v>
      </c>
      <c r="AA769" s="187">
        <v>570</v>
      </c>
      <c r="AB769" s="124">
        <v>599</v>
      </c>
      <c r="AC769" s="187"/>
      <c r="AD769" s="195">
        <v>11.5</v>
      </c>
      <c r="AE769" s="196">
        <v>14.5</v>
      </c>
      <c r="AF769" s="263" t="str">
        <f>MID(Tabelle2[[#This Row],[bnr full]],1,4)</f>
        <v>F152</v>
      </c>
      <c r="AG769" s="264" t="str">
        <f>MID(Tabelle2[[#This Row],[bnr full]],5,3)</f>
        <v>000</v>
      </c>
      <c r="AH769" s="265" t="str">
        <f>MID(Tabelle2[[#This Row],[bnr full]],8,3)</f>
        <v>258</v>
      </c>
      <c r="AI769" s="283" t="str">
        <f>MID(Tabelle2[[#This Row],[bnr full]],11,3)</f>
        <v>201</v>
      </c>
      <c r="AJ769" s="247" t="str">
        <f>MID(Tabelle2[[#This Row],[bnr full]],11,3)</f>
        <v>201</v>
      </c>
      <c r="AK769" s="284" t="s">
        <v>812</v>
      </c>
      <c r="AL769" s="187" t="str">
        <f ca="1">Sprache!$A$111</f>
        <v>Комплект (Л + П)</v>
      </c>
      <c r="AM769" s="187" t="s">
        <v>25</v>
      </c>
      <c r="AN769" s="187" t="str">
        <f ca="1">Sprache!$A$123</f>
        <v>Силовой механизм D</v>
      </c>
      <c r="AO769" s="187" t="s">
        <v>25</v>
      </c>
      <c r="AP769" s="187" t="s">
        <v>25</v>
      </c>
      <c r="AQ769" s="187">
        <v>450</v>
      </c>
      <c r="AR769" s="124">
        <v>1200</v>
      </c>
      <c r="AS769" s="187"/>
      <c r="AT769" s="124"/>
      <c r="AV769"/>
      <c r="AX769" s="10"/>
      <c r="AY769" s="11"/>
      <c r="AZ769" s="2"/>
      <c r="BC769"/>
    </row>
    <row r="770" spans="1:55" hidden="1" x14ac:dyDescent="0.25">
      <c r="A770" s="12" t="str">
        <f ca="1">IF(F770+G770+H770+I770+J770+D770+E770=3,IF(Tabelle2[[#This Row],[Kappe Weiß]]=Limits!$R$29,1,""),"")</f>
        <v/>
      </c>
      <c r="B770" s="282" t="str">
        <f ca="1">IF(G770+H770+I770+J770+E770+F770=2,IF(Tabelle2[[#This Row],[Kappe Weiß]]=Limits!$R$29,1,""),"")</f>
        <v/>
      </c>
      <c r="C770" s="291">
        <v>1</v>
      </c>
      <c r="D770" s="171">
        <f>IF(Limits!$P$5=TRUE,1,0)</f>
        <v>0</v>
      </c>
      <c r="E770" s="172">
        <f>IF(Daten!$P770+Daten!$Q770+Daten!$S770=3,1,0)</f>
        <v>0</v>
      </c>
      <c r="F770" s="173">
        <f ca="1">IF(AND(Limits!$Q$21=TRUE,Daten!O770=1)=TRUE,1,0)</f>
        <v>0</v>
      </c>
      <c r="G770" s="174">
        <f>IF(AND(Limits!$Q$25=TRUE,Daten!N770=1)=TRUE,1,0)</f>
        <v>0</v>
      </c>
      <c r="H770" s="174">
        <f>IF(AND(Limits!$Q$24=TRUE,Daten!M770=1)=TRUE,1,0)</f>
        <v>0</v>
      </c>
      <c r="I770" s="174">
        <f>IF(AND(Limits!$Q$23=TRUE,Daten!L770=1)=TRUE,1,0)</f>
        <v>0</v>
      </c>
      <c r="J770" s="174">
        <f>IF(AND(Limits!$Q$22=TRUE,Daten!K770=1)=TRUE,1,0)</f>
        <v>0</v>
      </c>
      <c r="K770" s="188">
        <f>IF(Daten!$V770=13,1,0)</f>
        <v>1</v>
      </c>
      <c r="L770" s="189">
        <f>IF(Daten!$V770&lt;&gt;Daten!$W770,1,IF(Daten!$V770=14,1,0))</f>
        <v>1</v>
      </c>
      <c r="M770" s="189">
        <f>IF(Daten!$V770&lt;&gt;Daten!$W770,1,IF(Daten!$V770=16,1,0))</f>
        <v>1</v>
      </c>
      <c r="N770" s="189">
        <f>IF(Daten!$W770=17,1,0)</f>
        <v>1</v>
      </c>
      <c r="O770" s="190">
        <f ca="1">IF(Daten!$X770=Sprache!$A$70,1,0)</f>
        <v>0</v>
      </c>
      <c r="P770" s="191">
        <f>IF(AND(Daten!$AQ770&lt;=KINVARO!$AW$3,Daten!$AR770&gt;=KINVARO!$AW$3)=TRUE,1,0)</f>
        <v>1</v>
      </c>
      <c r="Q770" s="192">
        <f>IF(AND(Daten!$AA770&lt;=KINVARO!$AW$4,Daten!$AB770&gt;=KINVARO!$AW$4)=TRUE,1,0)</f>
        <v>0</v>
      </c>
      <c r="R770" s="192"/>
      <c r="S770" s="192">
        <f>IF(AND(Daten!$AD770&lt;=Limits!$I$70,Daten!$AE770&gt;=Limits!$I$70)=TRUE,1,0)</f>
        <v>0</v>
      </c>
      <c r="T770" s="193">
        <f ca="1">IF(Daten!$Y770=Sprache!$A$135,1,0)</f>
        <v>0</v>
      </c>
      <c r="U770" s="124" t="str">
        <f ca="1">Sprache!$A$69</f>
        <v>S-35 Откидной подъемник</v>
      </c>
      <c r="V770" s="194">
        <v>13</v>
      </c>
      <c r="W770" s="193">
        <v>17</v>
      </c>
      <c r="X770" s="187" t="str">
        <f ca="1">Sprache!$A$142</f>
        <v>Alu (Rahmen 19mm)</v>
      </c>
      <c r="Y770" s="187" t="str">
        <f ca="1">Sprache!$A$136</f>
        <v>nein</v>
      </c>
      <c r="Z770" s="187" t="str">
        <f ca="1">Sprache!$A$79</f>
        <v>Створка</v>
      </c>
      <c r="AA770" s="187">
        <v>570</v>
      </c>
      <c r="AB770" s="124">
        <v>599</v>
      </c>
      <c r="AC770" s="187"/>
      <c r="AD770" s="195">
        <v>2</v>
      </c>
      <c r="AE770" s="196">
        <v>6</v>
      </c>
      <c r="AF770" s="263" t="str">
        <f>MID(Tabelle2[[#This Row],[bnr full]],1,4)</f>
        <v>F152</v>
      </c>
      <c r="AG770" s="264" t="str">
        <f>MID(Tabelle2[[#This Row],[bnr full]],5,3)</f>
        <v>000</v>
      </c>
      <c r="AH770" s="265" t="str">
        <f>MID(Tabelle2[[#This Row],[bnr full]],8,3)</f>
        <v>255</v>
      </c>
      <c r="AI770" s="283" t="str">
        <f>MID(Tabelle2[[#This Row],[bnr full]],11,3)</f>
        <v>201</v>
      </c>
      <c r="AJ770" s="247" t="str">
        <f>MID(Tabelle2[[#This Row],[bnr full]],11,3)</f>
        <v>201</v>
      </c>
      <c r="AK770" s="284" t="s">
        <v>809</v>
      </c>
      <c r="AL770" s="187" t="str">
        <f ca="1">Sprache!$A$111</f>
        <v>Комплект (Л + П)</v>
      </c>
      <c r="AM770" s="187" t="s">
        <v>25</v>
      </c>
      <c r="AN770" s="187" t="str">
        <f ca="1">Sprache!$A$120</f>
        <v>Силовой механизм A</v>
      </c>
      <c r="AO770" s="187" t="str">
        <f ca="1">Sprache!$A$147</f>
        <v>Адаптер под алюминиевые рамки к комплекту Kinvaro S-35</v>
      </c>
      <c r="AP770" s="187" t="s">
        <v>814</v>
      </c>
      <c r="AQ770" s="187">
        <v>450</v>
      </c>
      <c r="AR770" s="124">
        <v>1200</v>
      </c>
      <c r="AS770" s="187"/>
      <c r="AT770" s="124"/>
      <c r="AV770"/>
      <c r="AX770" s="10"/>
      <c r="AY770" s="11"/>
      <c r="AZ770" s="2"/>
      <c r="BC770"/>
    </row>
    <row r="771" spans="1:55" hidden="1" x14ac:dyDescent="0.25">
      <c r="A771" s="12" t="str">
        <f ca="1">IF(F771+G771+H771+I771+J771+D771+E771=3,IF(Tabelle2[[#This Row],[Kappe Weiß]]=Limits!$R$29,1,""),"")</f>
        <v/>
      </c>
      <c r="B771" s="282" t="str">
        <f ca="1">IF(G771+H771+I771+J771+E771+F771=2,IF(Tabelle2[[#This Row],[Kappe Weiß]]=Limits!$R$29,1,""),"")</f>
        <v/>
      </c>
      <c r="C771" s="291">
        <v>1</v>
      </c>
      <c r="D771" s="171">
        <f>IF(Limits!$P$5=TRUE,1,0)</f>
        <v>0</v>
      </c>
      <c r="E771" s="172">
        <f>IF(Daten!$P771+Daten!$Q771+Daten!$S771=3,1,0)</f>
        <v>0</v>
      </c>
      <c r="F771" s="173">
        <f ca="1">IF(AND(Limits!$Q$21=TRUE,Daten!O771=1)=TRUE,1,0)</f>
        <v>0</v>
      </c>
      <c r="G771" s="174">
        <f>IF(AND(Limits!$Q$25=TRUE,Daten!N771=1)=TRUE,1,0)</f>
        <v>0</v>
      </c>
      <c r="H771" s="174">
        <f>IF(AND(Limits!$Q$24=TRUE,Daten!M771=1)=TRUE,1,0)</f>
        <v>0</v>
      </c>
      <c r="I771" s="174">
        <f>IF(AND(Limits!$Q$23=TRUE,Daten!L771=1)=TRUE,1,0)</f>
        <v>0</v>
      </c>
      <c r="J771" s="174">
        <f>IF(AND(Limits!$Q$22=TRUE,Daten!K771=1)=TRUE,1,0)</f>
        <v>0</v>
      </c>
      <c r="K771" s="188">
        <f>IF(Daten!$V771=13,1,0)</f>
        <v>1</v>
      </c>
      <c r="L771" s="189">
        <f>IF(Daten!$V771&lt;&gt;Daten!$W771,1,IF(Daten!$V771=14,1,0))</f>
        <v>1</v>
      </c>
      <c r="M771" s="189">
        <f>IF(Daten!$V771&lt;&gt;Daten!$W771,1,IF(Daten!$V771=16,1,0))</f>
        <v>1</v>
      </c>
      <c r="N771" s="189">
        <f>IF(Daten!$W771=17,1,0)</f>
        <v>1</v>
      </c>
      <c r="O771" s="190">
        <f ca="1">IF(Daten!$X771=Sprache!$A$70,1,0)</f>
        <v>0</v>
      </c>
      <c r="P771" s="191">
        <f>IF(AND(Daten!$AQ771&lt;=KINVARO!$AW$3,Daten!$AR771&gt;=KINVARO!$AW$3)=TRUE,1,0)</f>
        <v>1</v>
      </c>
      <c r="Q771" s="192">
        <f>IF(AND(Daten!$AA771&lt;=KINVARO!$AW$4,Daten!$AB771&gt;=KINVARO!$AW$4)=TRUE,1,0)</f>
        <v>0</v>
      </c>
      <c r="R771" s="192"/>
      <c r="S771" s="192">
        <f>IF(AND(Daten!$AD771&lt;=Limits!$I$70,Daten!$AE771&gt;=Limits!$I$70)=TRUE,1,0)</f>
        <v>1</v>
      </c>
      <c r="T771" s="193">
        <f ca="1">IF(Daten!$Y771=Sprache!$A$135,1,0)</f>
        <v>0</v>
      </c>
      <c r="U771" s="124" t="str">
        <f ca="1">Sprache!$A$69</f>
        <v>S-35 Откидной подъемник</v>
      </c>
      <c r="V771" s="194">
        <v>13</v>
      </c>
      <c r="W771" s="193">
        <v>17</v>
      </c>
      <c r="X771" s="187" t="str">
        <f ca="1">Sprache!$A$142</f>
        <v>Alu (Rahmen 19mm)</v>
      </c>
      <c r="Y771" s="187" t="str">
        <f ca="1">Sprache!$A$136</f>
        <v>nein</v>
      </c>
      <c r="Z771" s="187" t="str">
        <f ca="1">Sprache!$A$79</f>
        <v>Створка</v>
      </c>
      <c r="AA771" s="187">
        <v>570</v>
      </c>
      <c r="AB771" s="124">
        <v>599</v>
      </c>
      <c r="AC771" s="187"/>
      <c r="AD771" s="195">
        <v>5</v>
      </c>
      <c r="AE771" s="196">
        <v>11</v>
      </c>
      <c r="AF771" s="263" t="str">
        <f>MID(Tabelle2[[#This Row],[bnr full]],1,4)</f>
        <v>F152</v>
      </c>
      <c r="AG771" s="264" t="str">
        <f>MID(Tabelle2[[#This Row],[bnr full]],5,3)</f>
        <v>000</v>
      </c>
      <c r="AH771" s="265" t="str">
        <f>MID(Tabelle2[[#This Row],[bnr full]],8,3)</f>
        <v>256</v>
      </c>
      <c r="AI771" s="283" t="str">
        <f>MID(Tabelle2[[#This Row],[bnr full]],11,3)</f>
        <v>201</v>
      </c>
      <c r="AJ771" s="247" t="str">
        <f>MID(Tabelle2[[#This Row],[bnr full]],11,3)</f>
        <v>201</v>
      </c>
      <c r="AK771" s="284" t="s">
        <v>810</v>
      </c>
      <c r="AL771" s="187" t="str">
        <f ca="1">Sprache!$A$111</f>
        <v>Комплект (Л + П)</v>
      </c>
      <c r="AM771" s="187" t="s">
        <v>25</v>
      </c>
      <c r="AN771" s="187" t="str">
        <f ca="1">Sprache!$A$121</f>
        <v>Силовой механизм B</v>
      </c>
      <c r="AO771" s="187" t="str">
        <f ca="1">Sprache!$A$147</f>
        <v>Адаптер под алюминиевые рамки к комплекту Kinvaro S-35</v>
      </c>
      <c r="AP771" s="187" t="s">
        <v>814</v>
      </c>
      <c r="AQ771" s="187">
        <v>450</v>
      </c>
      <c r="AR771" s="124">
        <v>1200</v>
      </c>
      <c r="AS771" s="187"/>
      <c r="AT771" s="124"/>
      <c r="AV771"/>
      <c r="AX771" s="10"/>
      <c r="AY771" s="11"/>
      <c r="AZ771" s="2"/>
      <c r="BC771"/>
    </row>
    <row r="772" spans="1:55" hidden="1" x14ac:dyDescent="0.25">
      <c r="A772" s="12" t="str">
        <f ca="1">IF(F772+G772+H772+I772+J772+D772+E772=3,IF(Tabelle2[[#This Row],[Kappe Weiß]]=Limits!$R$29,1,""),"")</f>
        <v/>
      </c>
      <c r="B772" s="282" t="str">
        <f ca="1">IF(G772+H772+I772+J772+E772+F772=2,IF(Tabelle2[[#This Row],[Kappe Weiß]]=Limits!$R$29,1,""),"")</f>
        <v/>
      </c>
      <c r="C772" s="291">
        <v>1</v>
      </c>
      <c r="D772" s="171">
        <f>IF(Limits!$P$5=TRUE,1,0)</f>
        <v>0</v>
      </c>
      <c r="E772" s="172">
        <f>IF(Daten!$P772+Daten!$Q772+Daten!$S772=3,1,0)</f>
        <v>0</v>
      </c>
      <c r="F772" s="173">
        <f ca="1">IF(AND(Limits!$Q$21=TRUE,Daten!O772=1)=TRUE,1,0)</f>
        <v>0</v>
      </c>
      <c r="G772" s="174">
        <f>IF(AND(Limits!$Q$25=TRUE,Daten!N772=1)=TRUE,1,0)</f>
        <v>0</v>
      </c>
      <c r="H772" s="174">
        <f>IF(AND(Limits!$Q$24=TRUE,Daten!M772=1)=TRUE,1,0)</f>
        <v>0</v>
      </c>
      <c r="I772" s="174">
        <f>IF(AND(Limits!$Q$23=TRUE,Daten!L772=1)=TRUE,1,0)</f>
        <v>0</v>
      </c>
      <c r="J772" s="174">
        <f>IF(AND(Limits!$Q$22=TRUE,Daten!K772=1)=TRUE,1,0)</f>
        <v>0</v>
      </c>
      <c r="K772" s="188">
        <f>IF(Daten!$V772=13,1,0)</f>
        <v>1</v>
      </c>
      <c r="L772" s="189">
        <f>IF(Daten!$V772&lt;&gt;Daten!$W772,1,IF(Daten!$V772=14,1,0))</f>
        <v>1</v>
      </c>
      <c r="M772" s="189">
        <f>IF(Daten!$V772&lt;&gt;Daten!$W772,1,IF(Daten!$V772=16,1,0))</f>
        <v>1</v>
      </c>
      <c r="N772" s="189">
        <f>IF(Daten!$W772=17,1,0)</f>
        <v>1</v>
      </c>
      <c r="O772" s="190">
        <f ca="1">IF(Daten!$X772=Sprache!$A$70,1,0)</f>
        <v>0</v>
      </c>
      <c r="P772" s="191">
        <f>IF(AND(Daten!$AQ772&lt;=KINVARO!$AW$3,Daten!$AR772&gt;=KINVARO!$AW$3)=TRUE,1,0)</f>
        <v>1</v>
      </c>
      <c r="Q772" s="192">
        <f>IF(AND(Daten!$AA772&lt;=KINVARO!$AW$4,Daten!$AB772&gt;=KINVARO!$AW$4)=TRUE,1,0)</f>
        <v>0</v>
      </c>
      <c r="R772" s="192"/>
      <c r="S772" s="192">
        <f>IF(AND(Daten!$AD772&lt;=Limits!$I$70,Daten!$AE772&gt;=Limits!$I$70)=TRUE,1,0)</f>
        <v>1</v>
      </c>
      <c r="T772" s="193">
        <f ca="1">IF(Daten!$Y772=Sprache!$A$135,1,0)</f>
        <v>0</v>
      </c>
      <c r="U772" s="124" t="str">
        <f ca="1">Sprache!$A$69</f>
        <v>S-35 Откидной подъемник</v>
      </c>
      <c r="V772" s="194">
        <v>13</v>
      </c>
      <c r="W772" s="193">
        <v>17</v>
      </c>
      <c r="X772" s="187" t="str">
        <f ca="1">Sprache!$A$142</f>
        <v>Alu (Rahmen 19mm)</v>
      </c>
      <c r="Y772" s="187" t="str">
        <f ca="1">Sprache!$A$136</f>
        <v>nein</v>
      </c>
      <c r="Z772" s="187" t="str">
        <f ca="1">Sprache!$A$79</f>
        <v>Створка</v>
      </c>
      <c r="AA772" s="187">
        <v>570</v>
      </c>
      <c r="AB772" s="124">
        <v>599</v>
      </c>
      <c r="AC772" s="187"/>
      <c r="AD772" s="195">
        <v>5.5</v>
      </c>
      <c r="AE772" s="196">
        <v>12</v>
      </c>
      <c r="AF772" s="263" t="str">
        <f>MID(Tabelle2[[#This Row],[bnr full]],1,4)</f>
        <v>F152</v>
      </c>
      <c r="AG772" s="264" t="str">
        <f>MID(Tabelle2[[#This Row],[bnr full]],5,3)</f>
        <v>000</v>
      </c>
      <c r="AH772" s="265" t="str">
        <f>MID(Tabelle2[[#This Row],[bnr full]],8,3)</f>
        <v>257</v>
      </c>
      <c r="AI772" s="283" t="str">
        <f>MID(Tabelle2[[#This Row],[bnr full]],11,3)</f>
        <v>201</v>
      </c>
      <c r="AJ772" s="247" t="str">
        <f>MID(Tabelle2[[#This Row],[bnr full]],11,3)</f>
        <v>201</v>
      </c>
      <c r="AK772" s="284" t="s">
        <v>811</v>
      </c>
      <c r="AL772" s="187" t="str">
        <f ca="1">Sprache!$A$111</f>
        <v>Комплект (Л + П)</v>
      </c>
      <c r="AM772" s="187" t="s">
        <v>25</v>
      </c>
      <c r="AN772" s="187" t="str">
        <f ca="1">Sprache!$A$122</f>
        <v>Силовой механизм C</v>
      </c>
      <c r="AO772" s="187" t="str">
        <f ca="1">Sprache!$A$147</f>
        <v>Адаптер под алюминиевые рамки к комплекту Kinvaro S-35</v>
      </c>
      <c r="AP772" s="187" t="s">
        <v>814</v>
      </c>
      <c r="AQ772" s="187">
        <v>450</v>
      </c>
      <c r="AR772" s="124">
        <v>1200</v>
      </c>
      <c r="AS772" s="187"/>
      <c r="AT772" s="124"/>
      <c r="AV772"/>
      <c r="AX772" s="10"/>
      <c r="AY772" s="11"/>
      <c r="AZ772" s="2"/>
      <c r="BC772"/>
    </row>
    <row r="773" spans="1:55" hidden="1" x14ac:dyDescent="0.25">
      <c r="A773" s="12" t="str">
        <f ca="1">IF(F773+G773+H773+I773+J773+D773+E773=3,IF(Tabelle2[[#This Row],[Kappe Weiß]]=Limits!$R$29,1,""),"")</f>
        <v/>
      </c>
      <c r="B773" s="282" t="str">
        <f ca="1">IF(G773+H773+I773+J773+E773+F773=2,IF(Tabelle2[[#This Row],[Kappe Weiß]]=Limits!$R$29,1,""),"")</f>
        <v/>
      </c>
      <c r="C773" s="291">
        <v>1</v>
      </c>
      <c r="D773" s="171">
        <f>IF(Limits!$P$5=TRUE,1,0)</f>
        <v>0</v>
      </c>
      <c r="E773" s="172">
        <f>IF(Daten!$P773+Daten!$Q773+Daten!$S773=3,1,0)</f>
        <v>0</v>
      </c>
      <c r="F773" s="173">
        <f ca="1">IF(AND(Limits!$Q$21=TRUE,Daten!O773=1)=TRUE,1,0)</f>
        <v>0</v>
      </c>
      <c r="G773" s="174">
        <f>IF(AND(Limits!$Q$25=TRUE,Daten!N773=1)=TRUE,1,0)</f>
        <v>0</v>
      </c>
      <c r="H773" s="174">
        <f>IF(AND(Limits!$Q$24=TRUE,Daten!M773=1)=TRUE,1,0)</f>
        <v>0</v>
      </c>
      <c r="I773" s="174">
        <f>IF(AND(Limits!$Q$23=TRUE,Daten!L773=1)=TRUE,1,0)</f>
        <v>0</v>
      </c>
      <c r="J773" s="174">
        <f>IF(AND(Limits!$Q$22=TRUE,Daten!K773=1)=TRUE,1,0)</f>
        <v>0</v>
      </c>
      <c r="K773" s="188">
        <f>IF(Daten!$V773=13,1,0)</f>
        <v>1</v>
      </c>
      <c r="L773" s="189">
        <f>IF(Daten!$V773&lt;&gt;Daten!$W773,1,IF(Daten!$V773=14,1,0))</f>
        <v>1</v>
      </c>
      <c r="M773" s="189">
        <f>IF(Daten!$V773&lt;&gt;Daten!$W773,1,IF(Daten!$V773=16,1,0))</f>
        <v>1</v>
      </c>
      <c r="N773" s="189">
        <f>IF(Daten!$W773=17,1,0)</f>
        <v>1</v>
      </c>
      <c r="O773" s="190">
        <f ca="1">IF(Daten!$X773=Sprache!$A$70,1,0)</f>
        <v>0</v>
      </c>
      <c r="P773" s="191">
        <f>IF(AND(Daten!$AQ773&lt;=KINVARO!$AW$3,Daten!$AR773&gt;=KINVARO!$AW$3)=TRUE,1,0)</f>
        <v>1</v>
      </c>
      <c r="Q773" s="192">
        <f>IF(AND(Daten!$AA773&lt;=KINVARO!$AW$4,Daten!$AB773&gt;=KINVARO!$AW$4)=TRUE,1,0)</f>
        <v>0</v>
      </c>
      <c r="R773" s="192"/>
      <c r="S773" s="192">
        <f>IF(AND(Daten!$AD773&lt;=Limits!$I$70,Daten!$AE773&gt;=Limits!$I$70)=TRUE,1,0)</f>
        <v>0</v>
      </c>
      <c r="T773" s="193">
        <f ca="1">IF(Daten!$Y773=Sprache!$A$135,1,0)</f>
        <v>0</v>
      </c>
      <c r="U773" s="124" t="str">
        <f ca="1">Sprache!$A$69</f>
        <v>S-35 Откидной подъемник</v>
      </c>
      <c r="V773" s="194">
        <v>13</v>
      </c>
      <c r="W773" s="193">
        <v>17</v>
      </c>
      <c r="X773" s="187" t="str">
        <f ca="1">Sprache!$A$142</f>
        <v>Alu (Rahmen 19mm)</v>
      </c>
      <c r="Y773" s="187" t="str">
        <f ca="1">Sprache!$A$136</f>
        <v>nein</v>
      </c>
      <c r="Z773" s="187" t="str">
        <f ca="1">Sprache!$A$79</f>
        <v>Створка</v>
      </c>
      <c r="AA773" s="187">
        <v>570</v>
      </c>
      <c r="AB773" s="124">
        <v>599</v>
      </c>
      <c r="AC773" s="187"/>
      <c r="AD773" s="195">
        <v>11.5</v>
      </c>
      <c r="AE773" s="196">
        <v>14.5</v>
      </c>
      <c r="AF773" s="263" t="str">
        <f>MID(Tabelle2[[#This Row],[bnr full]],1,4)</f>
        <v>F152</v>
      </c>
      <c r="AG773" s="264" t="str">
        <f>MID(Tabelle2[[#This Row],[bnr full]],5,3)</f>
        <v>000</v>
      </c>
      <c r="AH773" s="265" t="str">
        <f>MID(Tabelle2[[#This Row],[bnr full]],8,3)</f>
        <v>258</v>
      </c>
      <c r="AI773" s="283" t="str">
        <f>MID(Tabelle2[[#This Row],[bnr full]],11,3)</f>
        <v>201</v>
      </c>
      <c r="AJ773" s="247" t="str">
        <f>MID(Tabelle2[[#This Row],[bnr full]],11,3)</f>
        <v>201</v>
      </c>
      <c r="AK773" s="284" t="s">
        <v>812</v>
      </c>
      <c r="AL773" s="187" t="str">
        <f ca="1">Sprache!$A$111</f>
        <v>Комплект (Л + П)</v>
      </c>
      <c r="AM773" s="187" t="s">
        <v>25</v>
      </c>
      <c r="AN773" s="187" t="str">
        <f ca="1">Sprache!$A$123</f>
        <v>Силовой механизм D</v>
      </c>
      <c r="AO773" s="187" t="str">
        <f ca="1">Sprache!$A$147</f>
        <v>Адаптер под алюминиевые рамки к комплекту Kinvaro S-35</v>
      </c>
      <c r="AP773" s="187" t="s">
        <v>814</v>
      </c>
      <c r="AQ773" s="187">
        <v>450</v>
      </c>
      <c r="AR773" s="124">
        <v>1200</v>
      </c>
      <c r="AS773" s="187"/>
      <c r="AT773" s="124"/>
      <c r="AV773"/>
      <c r="AX773" s="10"/>
      <c r="AY773" s="11"/>
      <c r="AZ773" s="2"/>
      <c r="BC773"/>
    </row>
    <row r="774" spans="1:55" hidden="1" x14ac:dyDescent="0.25">
      <c r="A774" s="12" t="str">
        <f ca="1">IF(F774+G774+H774+I774+J774+D774+E774=3,IF(Tabelle2[[#This Row],[Kappe Weiß]]=Limits!$R$29,1,""),"")</f>
        <v/>
      </c>
      <c r="B774" s="282" t="str">
        <f ca="1">IF(G774+H774+I774+J774+E774+F774=2,IF(Tabelle2[[#This Row],[Kappe Weiß]]=Limits!$R$29,1,""),"")</f>
        <v/>
      </c>
      <c r="C774" s="292">
        <v>1</v>
      </c>
      <c r="D774" s="171">
        <f>IF(Limits!$P$5=TRUE,1,0)</f>
        <v>0</v>
      </c>
      <c r="E774" s="172">
        <f>IF(Daten!$P774+Daten!$Q774+Daten!$S774=3,1,0)</f>
        <v>0</v>
      </c>
      <c r="F774" s="173">
        <f ca="1">IF(AND(Limits!$Q$21=TRUE,Daten!O774=1)=TRUE,1,0)</f>
        <v>1</v>
      </c>
      <c r="G774" s="174">
        <f ca="1">IF(AND(Limits!$Q$25=TRUE,Daten!N774=1)=TRUE,1,0)</f>
        <v>0</v>
      </c>
      <c r="H774" s="174">
        <f ca="1">IF(AND(Limits!$Q$24=TRUE,Daten!M774=1)=TRUE,1,0)</f>
        <v>0</v>
      </c>
      <c r="I774" s="174">
        <f ca="1">IF(AND(Limits!$Q$23=TRUE,Daten!L774=1)=TRUE,1,0)</f>
        <v>0</v>
      </c>
      <c r="J774" s="174">
        <f ca="1">IF(AND(Limits!$Q$22=TRUE,Daten!K774=1)=TRUE,1,0)</f>
        <v>0</v>
      </c>
      <c r="K774" s="188">
        <f ca="1">IF(Daten!$V774=13,1,0)</f>
        <v>0</v>
      </c>
      <c r="L774" s="189">
        <f ca="1">IF(Daten!$V774&lt;&gt;Daten!$W774,1,IF(Daten!$V774=14,1,0))</f>
        <v>0</v>
      </c>
      <c r="M774" s="189">
        <f ca="1">IF(Daten!$V774&lt;&gt;Daten!$W774,1,IF(Daten!$V774=16,1,0))</f>
        <v>0</v>
      </c>
      <c r="N774" s="189">
        <f ca="1">IF(Daten!$W774=17,1,0)</f>
        <v>0</v>
      </c>
      <c r="O774" s="190">
        <f ca="1">IF(Daten!$X774=Sprache!$A$70,1,0)</f>
        <v>1</v>
      </c>
      <c r="P774" s="198">
        <f>IF(AND(Daten!$AQ774&lt;=KINVARO!$AW$3,Daten!$AR774&gt;=KINVARO!$AW$3)=TRUE,1,0)</f>
        <v>1</v>
      </c>
      <c r="Q774" s="199">
        <f>IF(AND(Daten!$AA774&lt;=KINVARO!$AW$4,Daten!$AB774&gt;=KINVARO!$AW$4)=TRUE,1,0)</f>
        <v>0</v>
      </c>
      <c r="R774" s="199"/>
      <c r="S774" s="199">
        <f>IF(AND(Daten!$AD774&lt;=Limits!$I$70,Daten!$AE774&gt;=Limits!$I$70)=TRUE,1,0)</f>
        <v>0</v>
      </c>
      <c r="T774" s="200">
        <f ca="1">IF(Daten!$Y774=Sprache!$A$135,1,0)</f>
        <v>0</v>
      </c>
      <c r="U774" s="201" t="str">
        <f ca="1">Sprache!$A$69</f>
        <v>S-35 Откидной подъемник</v>
      </c>
      <c r="V774" s="194" t="str">
        <f ca="1">Sprache!$A$74</f>
        <v>var</v>
      </c>
      <c r="W774" s="200" t="str">
        <f ca="1">Sprache!$A$74</f>
        <v>var</v>
      </c>
      <c r="X774" s="187" t="str">
        <f ca="1">Sprache!$A$70</f>
        <v>соединение с древесиной</v>
      </c>
      <c r="Y774" s="187" t="str">
        <f ca="1">Sprache!$A$136</f>
        <v>nein</v>
      </c>
      <c r="Z774" s="187" t="str">
        <f ca="1">Sprache!$A$79</f>
        <v>Створка</v>
      </c>
      <c r="AA774" s="187">
        <v>600</v>
      </c>
      <c r="AB774" s="201">
        <v>629</v>
      </c>
      <c r="AC774" s="187"/>
      <c r="AD774" s="195">
        <v>2</v>
      </c>
      <c r="AE774" s="205">
        <v>5.5</v>
      </c>
      <c r="AF774" s="263" t="str">
        <f>MID(Tabelle2[[#This Row],[bnr full]],1,4)</f>
        <v>F152</v>
      </c>
      <c r="AG774" s="267" t="str">
        <f>MID(Tabelle2[[#This Row],[bnr full]],5,3)</f>
        <v>000</v>
      </c>
      <c r="AH774" s="268" t="str">
        <f>MID(Tabelle2[[#This Row],[bnr full]],8,3)</f>
        <v>255</v>
      </c>
      <c r="AI774" s="286" t="str">
        <f>MID(Tabelle2[[#This Row],[bnr full]],11,3)</f>
        <v>201</v>
      </c>
      <c r="AJ774" s="248" t="str">
        <f>MID(Tabelle2[[#This Row],[bnr full]],11,3)</f>
        <v>201</v>
      </c>
      <c r="AK774" s="284" t="s">
        <v>809</v>
      </c>
      <c r="AL774" s="187" t="str">
        <f ca="1">Sprache!$A$111</f>
        <v>Комплект (Л + П)</v>
      </c>
      <c r="AM774" s="187" t="s">
        <v>25</v>
      </c>
      <c r="AN774" s="187" t="str">
        <f ca="1">Sprache!$A$120</f>
        <v>Силовой механизм A</v>
      </c>
      <c r="AO774" s="187" t="s">
        <v>25</v>
      </c>
      <c r="AP774" s="187" t="s">
        <v>25</v>
      </c>
      <c r="AQ774" s="187">
        <v>450</v>
      </c>
      <c r="AR774" s="201">
        <v>1200</v>
      </c>
      <c r="AS774" s="187"/>
      <c r="AT774" s="124"/>
      <c r="AV774"/>
      <c r="AX774" s="10"/>
      <c r="AY774" s="11"/>
      <c r="AZ774" s="2"/>
      <c r="BC774"/>
    </row>
    <row r="775" spans="1:55" hidden="1" x14ac:dyDescent="0.25">
      <c r="A775" s="12" t="str">
        <f ca="1">IF(F775+G775+H775+I775+J775+D775+E775=3,IF(Tabelle2[[#This Row],[Kappe Weiß]]=Limits!$R$29,1,""),"")</f>
        <v/>
      </c>
      <c r="B775" s="282" t="str">
        <f ca="1">IF(G775+H775+I775+J775+E775+F775=2,IF(Tabelle2[[#This Row],[Kappe Weiß]]=Limits!$R$29,1,""),"")</f>
        <v/>
      </c>
      <c r="C775" s="291">
        <v>1</v>
      </c>
      <c r="D775" s="171">
        <f>IF(Limits!$P$5=TRUE,1,0)</f>
        <v>0</v>
      </c>
      <c r="E775" s="172">
        <f>IF(Daten!$P775+Daten!$Q775+Daten!$S775=3,1,0)</f>
        <v>0</v>
      </c>
      <c r="F775" s="173">
        <f ca="1">IF(AND(Limits!$Q$21=TRUE,Daten!O775=1)=TRUE,1,0)</f>
        <v>1</v>
      </c>
      <c r="G775" s="174">
        <f ca="1">IF(AND(Limits!$Q$25=TRUE,Daten!N775=1)=TRUE,1,0)</f>
        <v>0</v>
      </c>
      <c r="H775" s="174">
        <f ca="1">IF(AND(Limits!$Q$24=TRUE,Daten!M775=1)=TRUE,1,0)</f>
        <v>0</v>
      </c>
      <c r="I775" s="174">
        <f ca="1">IF(AND(Limits!$Q$23=TRUE,Daten!L775=1)=TRUE,1,0)</f>
        <v>0</v>
      </c>
      <c r="J775" s="174">
        <f ca="1">IF(AND(Limits!$Q$22=TRUE,Daten!K775=1)=TRUE,1,0)</f>
        <v>0</v>
      </c>
      <c r="K775" s="188">
        <f ca="1">IF(Daten!$V775=13,1,0)</f>
        <v>0</v>
      </c>
      <c r="L775" s="189">
        <f ca="1">IF(Daten!$V775&lt;&gt;Daten!$W775,1,IF(Daten!$V775=14,1,0))</f>
        <v>0</v>
      </c>
      <c r="M775" s="189">
        <f ca="1">IF(Daten!$V775&lt;&gt;Daten!$W775,1,IF(Daten!$V775=16,1,0))</f>
        <v>0</v>
      </c>
      <c r="N775" s="189">
        <f ca="1">IF(Daten!$W775=17,1,0)</f>
        <v>0</v>
      </c>
      <c r="O775" s="190">
        <f ca="1">IF(Daten!$X775=Sprache!$A$70,1,0)</f>
        <v>1</v>
      </c>
      <c r="P775" s="191">
        <f>IF(AND(Daten!$AQ775&lt;=KINVARO!$AW$3,Daten!$AR775&gt;=KINVARO!$AW$3)=TRUE,1,0)</f>
        <v>1</v>
      </c>
      <c r="Q775" s="192">
        <f>IF(AND(Daten!$AA775&lt;=KINVARO!$AW$4,Daten!$AB775&gt;=KINVARO!$AW$4)=TRUE,1,0)</f>
        <v>0</v>
      </c>
      <c r="R775" s="192"/>
      <c r="S775" s="192">
        <f>IF(AND(Daten!$AD775&lt;=Limits!$I$70,Daten!$AE775&gt;=Limits!$I$70)=TRUE,1,0)</f>
        <v>1</v>
      </c>
      <c r="T775" s="193">
        <f ca="1">IF(Daten!$Y775=Sprache!$A$135,1,0)</f>
        <v>0</v>
      </c>
      <c r="U775" s="124" t="str">
        <f ca="1">Sprache!$A$69</f>
        <v>S-35 Откидной подъемник</v>
      </c>
      <c r="V775" s="194" t="str">
        <f ca="1">Sprache!$A$74</f>
        <v>var</v>
      </c>
      <c r="W775" s="193" t="str">
        <f ca="1">Sprache!$A$74</f>
        <v>var</v>
      </c>
      <c r="X775" s="187" t="str">
        <f ca="1">Sprache!$A$70</f>
        <v>соединение с древесиной</v>
      </c>
      <c r="Y775" s="187" t="str">
        <f ca="1">Sprache!$A$136</f>
        <v>nein</v>
      </c>
      <c r="Z775" s="187" t="str">
        <f ca="1">Sprache!$A$79</f>
        <v>Створка</v>
      </c>
      <c r="AA775" s="187">
        <v>600</v>
      </c>
      <c r="AB775" s="124">
        <v>629</v>
      </c>
      <c r="AC775" s="187"/>
      <c r="AD775" s="195">
        <v>4.5</v>
      </c>
      <c r="AE775" s="196">
        <v>10</v>
      </c>
      <c r="AF775" s="263" t="str">
        <f>MID(Tabelle2[[#This Row],[bnr full]],1,4)</f>
        <v>F152</v>
      </c>
      <c r="AG775" s="264" t="str">
        <f>MID(Tabelle2[[#This Row],[bnr full]],5,3)</f>
        <v>000</v>
      </c>
      <c r="AH775" s="265" t="str">
        <f>MID(Tabelle2[[#This Row],[bnr full]],8,3)</f>
        <v>256</v>
      </c>
      <c r="AI775" s="283" t="str">
        <f>MID(Tabelle2[[#This Row],[bnr full]],11,3)</f>
        <v>201</v>
      </c>
      <c r="AJ775" s="247" t="str">
        <f>MID(Tabelle2[[#This Row],[bnr full]],11,3)</f>
        <v>201</v>
      </c>
      <c r="AK775" s="284" t="s">
        <v>810</v>
      </c>
      <c r="AL775" s="187" t="str">
        <f ca="1">Sprache!$A$111</f>
        <v>Комплект (Л + П)</v>
      </c>
      <c r="AM775" s="187" t="s">
        <v>25</v>
      </c>
      <c r="AN775" s="187" t="str">
        <f ca="1">Sprache!$A$121</f>
        <v>Силовой механизм B</v>
      </c>
      <c r="AO775" s="187" t="s">
        <v>25</v>
      </c>
      <c r="AP775" s="187" t="s">
        <v>25</v>
      </c>
      <c r="AQ775" s="187">
        <v>450</v>
      </c>
      <c r="AR775" s="124">
        <v>1200</v>
      </c>
      <c r="AS775" s="187"/>
      <c r="AT775" s="124"/>
      <c r="AV775"/>
      <c r="AX775" s="10"/>
      <c r="AY775" s="11"/>
      <c r="AZ775" s="2"/>
      <c r="BC775"/>
    </row>
    <row r="776" spans="1:55" hidden="1" x14ac:dyDescent="0.25">
      <c r="A776" s="12" t="str">
        <f ca="1">IF(F776+G776+H776+I776+J776+D776+E776=3,IF(Tabelle2[[#This Row],[Kappe Weiß]]=Limits!$R$29,1,""),"")</f>
        <v/>
      </c>
      <c r="B776" s="282" t="str">
        <f ca="1">IF(G776+H776+I776+J776+E776+F776=2,IF(Tabelle2[[#This Row],[Kappe Weiß]]=Limits!$R$29,1,""),"")</f>
        <v/>
      </c>
      <c r="C776" s="291">
        <v>1</v>
      </c>
      <c r="D776" s="171">
        <f>IF(Limits!$P$5=TRUE,1,0)</f>
        <v>0</v>
      </c>
      <c r="E776" s="172">
        <f>IF(Daten!$P776+Daten!$Q776+Daten!$S776=3,1,0)</f>
        <v>0</v>
      </c>
      <c r="F776" s="173">
        <f ca="1">IF(AND(Limits!$Q$21=TRUE,Daten!O776=1)=TRUE,1,0)</f>
        <v>1</v>
      </c>
      <c r="G776" s="174">
        <f ca="1">IF(AND(Limits!$Q$25=TRUE,Daten!N776=1)=TRUE,1,0)</f>
        <v>0</v>
      </c>
      <c r="H776" s="174">
        <f ca="1">IF(AND(Limits!$Q$24=TRUE,Daten!M776=1)=TRUE,1,0)</f>
        <v>0</v>
      </c>
      <c r="I776" s="174">
        <f ca="1">IF(AND(Limits!$Q$23=TRUE,Daten!L776=1)=TRUE,1,0)</f>
        <v>0</v>
      </c>
      <c r="J776" s="174">
        <f ca="1">IF(AND(Limits!$Q$22=TRUE,Daten!K776=1)=TRUE,1,0)</f>
        <v>0</v>
      </c>
      <c r="K776" s="188">
        <f ca="1">IF(Daten!$V776=13,1,0)</f>
        <v>0</v>
      </c>
      <c r="L776" s="189">
        <f ca="1">IF(Daten!$V776&lt;&gt;Daten!$W776,1,IF(Daten!$V776=14,1,0))</f>
        <v>0</v>
      </c>
      <c r="M776" s="189">
        <f ca="1">IF(Daten!$V776&lt;&gt;Daten!$W776,1,IF(Daten!$V776=16,1,0))</f>
        <v>0</v>
      </c>
      <c r="N776" s="189">
        <f ca="1">IF(Daten!$W776=17,1,0)</f>
        <v>0</v>
      </c>
      <c r="O776" s="190">
        <f ca="1">IF(Daten!$X776=Sprache!$A$70,1,0)</f>
        <v>1</v>
      </c>
      <c r="P776" s="191">
        <f>IF(AND(Daten!$AQ776&lt;=KINVARO!$AW$3,Daten!$AR776&gt;=KINVARO!$AW$3)=TRUE,1,0)</f>
        <v>1</v>
      </c>
      <c r="Q776" s="192">
        <f>IF(AND(Daten!$AA776&lt;=KINVARO!$AW$4,Daten!$AB776&gt;=KINVARO!$AW$4)=TRUE,1,0)</f>
        <v>0</v>
      </c>
      <c r="R776" s="192"/>
      <c r="S776" s="192">
        <f>IF(AND(Daten!$AD776&lt;=Limits!$I$70,Daten!$AE776&gt;=Limits!$I$70)=TRUE,1,0)</f>
        <v>1</v>
      </c>
      <c r="T776" s="193">
        <f ca="1">IF(Daten!$Y776=Sprache!$A$135,1,0)</f>
        <v>0</v>
      </c>
      <c r="U776" s="124" t="str">
        <f ca="1">Sprache!$A$69</f>
        <v>S-35 Откидной подъемник</v>
      </c>
      <c r="V776" s="194" t="str">
        <f ca="1">Sprache!$A$74</f>
        <v>var</v>
      </c>
      <c r="W776" s="193" t="str">
        <f ca="1">Sprache!$A$74</f>
        <v>var</v>
      </c>
      <c r="X776" s="187" t="str">
        <f ca="1">Sprache!$A$70</f>
        <v>соединение с древесиной</v>
      </c>
      <c r="Y776" s="187" t="str">
        <f ca="1">Sprache!$A$136</f>
        <v>nein</v>
      </c>
      <c r="Z776" s="187" t="str">
        <f ca="1">Sprache!$A$79</f>
        <v>Створка</v>
      </c>
      <c r="AA776" s="187">
        <v>600</v>
      </c>
      <c r="AB776" s="124">
        <v>629</v>
      </c>
      <c r="AC776" s="187"/>
      <c r="AD776" s="195">
        <v>5.5</v>
      </c>
      <c r="AE776" s="196">
        <v>11.5</v>
      </c>
      <c r="AF776" s="263" t="str">
        <f>MID(Tabelle2[[#This Row],[bnr full]],1,4)</f>
        <v>F152</v>
      </c>
      <c r="AG776" s="264" t="str">
        <f>MID(Tabelle2[[#This Row],[bnr full]],5,3)</f>
        <v>000</v>
      </c>
      <c r="AH776" s="265" t="str">
        <f>MID(Tabelle2[[#This Row],[bnr full]],8,3)</f>
        <v>257</v>
      </c>
      <c r="AI776" s="283" t="str">
        <f>MID(Tabelle2[[#This Row],[bnr full]],11,3)</f>
        <v>201</v>
      </c>
      <c r="AJ776" s="247" t="str">
        <f>MID(Tabelle2[[#This Row],[bnr full]],11,3)</f>
        <v>201</v>
      </c>
      <c r="AK776" s="284" t="s">
        <v>811</v>
      </c>
      <c r="AL776" s="187" t="str">
        <f ca="1">Sprache!$A$111</f>
        <v>Комплект (Л + П)</v>
      </c>
      <c r="AM776" s="187" t="s">
        <v>25</v>
      </c>
      <c r="AN776" s="187" t="str">
        <f ca="1">Sprache!$A$122</f>
        <v>Силовой механизм C</v>
      </c>
      <c r="AO776" s="187" t="s">
        <v>25</v>
      </c>
      <c r="AP776" s="187" t="s">
        <v>25</v>
      </c>
      <c r="AQ776" s="187">
        <v>450</v>
      </c>
      <c r="AR776" s="124">
        <v>1200</v>
      </c>
      <c r="AS776" s="187"/>
      <c r="AT776" s="124"/>
      <c r="AV776"/>
      <c r="AX776" s="10"/>
      <c r="AY776" s="11"/>
      <c r="AZ776" s="2"/>
      <c r="BC776"/>
    </row>
    <row r="777" spans="1:55" hidden="1" x14ac:dyDescent="0.25">
      <c r="A777" s="12" t="str">
        <f ca="1">IF(F777+G777+H777+I777+J777+D777+E777=3,IF(Tabelle2[[#This Row],[Kappe Weiß]]=Limits!$R$29,1,""),"")</f>
        <v/>
      </c>
      <c r="B777" s="282" t="str">
        <f ca="1">IF(G777+H777+I777+J777+E777+F777=2,IF(Tabelle2[[#This Row],[Kappe Weiß]]=Limits!$R$29,1,""),"")</f>
        <v/>
      </c>
      <c r="C777" s="291">
        <v>1</v>
      </c>
      <c r="D777" s="171">
        <f>IF(Limits!$P$5=TRUE,1,0)</f>
        <v>0</v>
      </c>
      <c r="E777" s="172">
        <f>IF(Daten!$P777+Daten!$Q777+Daten!$S777=3,1,0)</f>
        <v>0</v>
      </c>
      <c r="F777" s="173">
        <f ca="1">IF(AND(Limits!$Q$21=TRUE,Daten!O777=1)=TRUE,1,0)</f>
        <v>1</v>
      </c>
      <c r="G777" s="174">
        <f ca="1">IF(AND(Limits!$Q$25=TRUE,Daten!N777=1)=TRUE,1,0)</f>
        <v>0</v>
      </c>
      <c r="H777" s="174">
        <f ca="1">IF(AND(Limits!$Q$24=TRUE,Daten!M777=1)=TRUE,1,0)</f>
        <v>0</v>
      </c>
      <c r="I777" s="174">
        <f ca="1">IF(AND(Limits!$Q$23=TRUE,Daten!L777=1)=TRUE,1,0)</f>
        <v>0</v>
      </c>
      <c r="J777" s="174">
        <f ca="1">IF(AND(Limits!$Q$22=TRUE,Daten!K777=1)=TRUE,1,0)</f>
        <v>0</v>
      </c>
      <c r="K777" s="188">
        <f ca="1">IF(Daten!$V777=13,1,0)</f>
        <v>0</v>
      </c>
      <c r="L777" s="189">
        <f ca="1">IF(Daten!$V777&lt;&gt;Daten!$W777,1,IF(Daten!$V777=14,1,0))</f>
        <v>0</v>
      </c>
      <c r="M777" s="189">
        <f ca="1">IF(Daten!$V777&lt;&gt;Daten!$W777,1,IF(Daten!$V777=16,1,0))</f>
        <v>0</v>
      </c>
      <c r="N777" s="189">
        <f ca="1">IF(Daten!$W777=17,1,0)</f>
        <v>0</v>
      </c>
      <c r="O777" s="190">
        <f ca="1">IF(Daten!$X777=Sprache!$A$70,1,0)</f>
        <v>1</v>
      </c>
      <c r="P777" s="191">
        <f>IF(AND(Daten!$AQ777&lt;=KINVARO!$AW$3,Daten!$AR777&gt;=KINVARO!$AW$3)=TRUE,1,0)</f>
        <v>1</v>
      </c>
      <c r="Q777" s="192">
        <f>IF(AND(Daten!$AA777&lt;=KINVARO!$AW$4,Daten!$AB777&gt;=KINVARO!$AW$4)=TRUE,1,0)</f>
        <v>0</v>
      </c>
      <c r="R777" s="192"/>
      <c r="S777" s="192">
        <f>IF(AND(Daten!$AD777&lt;=Limits!$I$70,Daten!$AE777&gt;=Limits!$I$70)=TRUE,1,0)</f>
        <v>0</v>
      </c>
      <c r="T777" s="193">
        <f ca="1">IF(Daten!$Y777=Sprache!$A$135,1,0)</f>
        <v>0</v>
      </c>
      <c r="U777" s="124" t="str">
        <f ca="1">Sprache!$A$69</f>
        <v>S-35 Откидной подъемник</v>
      </c>
      <c r="V777" s="194" t="str">
        <f ca="1">Sprache!$A$74</f>
        <v>var</v>
      </c>
      <c r="W777" s="193" t="str">
        <f ca="1">Sprache!$A$74</f>
        <v>var</v>
      </c>
      <c r="X777" s="187" t="str">
        <f ca="1">Sprache!$A$70</f>
        <v>соединение с древесиной</v>
      </c>
      <c r="Y777" s="187" t="str">
        <f ca="1">Sprache!$A$136</f>
        <v>nein</v>
      </c>
      <c r="Z777" s="187" t="str">
        <f ca="1">Sprache!$A$79</f>
        <v>Створка</v>
      </c>
      <c r="AA777" s="187">
        <v>600</v>
      </c>
      <c r="AB777" s="124">
        <v>629</v>
      </c>
      <c r="AC777" s="187"/>
      <c r="AD777" s="195">
        <v>10.5</v>
      </c>
      <c r="AE777" s="196">
        <v>15.5</v>
      </c>
      <c r="AF777" s="263" t="str">
        <f>MID(Tabelle2[[#This Row],[bnr full]],1,4)</f>
        <v>F152</v>
      </c>
      <c r="AG777" s="264" t="str">
        <f>MID(Tabelle2[[#This Row],[bnr full]],5,3)</f>
        <v>000</v>
      </c>
      <c r="AH777" s="265" t="str">
        <f>MID(Tabelle2[[#This Row],[bnr full]],8,3)</f>
        <v>258</v>
      </c>
      <c r="AI777" s="283" t="str">
        <f>MID(Tabelle2[[#This Row],[bnr full]],11,3)</f>
        <v>201</v>
      </c>
      <c r="AJ777" s="247" t="str">
        <f>MID(Tabelle2[[#This Row],[bnr full]],11,3)</f>
        <v>201</v>
      </c>
      <c r="AK777" s="284" t="s">
        <v>812</v>
      </c>
      <c r="AL777" s="187" t="str">
        <f ca="1">Sprache!$A$111</f>
        <v>Комплект (Л + П)</v>
      </c>
      <c r="AM777" s="187" t="s">
        <v>25</v>
      </c>
      <c r="AN777" s="187" t="str">
        <f ca="1">Sprache!$A$123</f>
        <v>Силовой механизм D</v>
      </c>
      <c r="AO777" s="187" t="s">
        <v>25</v>
      </c>
      <c r="AP777" s="187" t="s">
        <v>25</v>
      </c>
      <c r="AQ777" s="187">
        <v>450</v>
      </c>
      <c r="AR777" s="124">
        <v>1200</v>
      </c>
      <c r="AS777" s="187"/>
      <c r="AT777" s="124"/>
      <c r="AV777"/>
      <c r="AX777" s="10"/>
      <c r="AY777" s="11"/>
      <c r="AZ777" s="2"/>
      <c r="BC777"/>
    </row>
    <row r="778" spans="1:55" hidden="1" x14ac:dyDescent="0.25">
      <c r="A778" s="12" t="str">
        <f ca="1">IF(F778+G778+H778+I778+J778+D778+E778=3,IF(Tabelle2[[#This Row],[Kappe Weiß]]=Limits!$R$29,1,""),"")</f>
        <v/>
      </c>
      <c r="B778" s="282" t="str">
        <f ca="1">IF(G778+H778+I778+J778+E778+F778=2,IF(Tabelle2[[#This Row],[Kappe Weiß]]=Limits!$R$29,1,""),"")</f>
        <v/>
      </c>
      <c r="C778" s="291">
        <v>1</v>
      </c>
      <c r="D778" s="171">
        <f>IF(Limits!$P$5=TRUE,1,0)</f>
        <v>0</v>
      </c>
      <c r="E778" s="172">
        <f>IF(Daten!$P778+Daten!$Q778+Daten!$S778=3,1,0)</f>
        <v>0</v>
      </c>
      <c r="F778" s="173">
        <f ca="1">IF(AND(Limits!$Q$21=TRUE,Daten!O778=1)=TRUE,1,0)</f>
        <v>0</v>
      </c>
      <c r="G778" s="174">
        <f>IF(AND(Limits!$Q$25=TRUE,Daten!N778=1)=TRUE,1,0)</f>
        <v>0</v>
      </c>
      <c r="H778" s="174">
        <f>IF(AND(Limits!$Q$24=TRUE,Daten!M778=1)=TRUE,1,0)</f>
        <v>0</v>
      </c>
      <c r="I778" s="174">
        <f>IF(AND(Limits!$Q$23=TRUE,Daten!L778=1)=TRUE,1,0)</f>
        <v>0</v>
      </c>
      <c r="J778" s="174">
        <f>IF(AND(Limits!$Q$22=TRUE,Daten!K778=1)=TRUE,1,0)</f>
        <v>0</v>
      </c>
      <c r="K778" s="188">
        <f>IF(Daten!$V778=13,1,0)</f>
        <v>1</v>
      </c>
      <c r="L778" s="189">
        <f>IF(Daten!$V778&lt;&gt;Daten!$W778,1,IF(Daten!$V778=14,1,0))</f>
        <v>1</v>
      </c>
      <c r="M778" s="189">
        <f>IF(Daten!$V778&lt;&gt;Daten!$W778,1,IF(Daten!$V778=16,1,0))</f>
        <v>1</v>
      </c>
      <c r="N778" s="189">
        <f>IF(Daten!$W778=17,1,0)</f>
        <v>1</v>
      </c>
      <c r="O778" s="190">
        <f ca="1">IF(Daten!$X778=Sprache!$A$70,1,0)</f>
        <v>0</v>
      </c>
      <c r="P778" s="191">
        <f>IF(AND(Daten!$AQ778&lt;=KINVARO!$AW$3,Daten!$AR778&gt;=KINVARO!$AW$3)=TRUE,1,0)</f>
        <v>1</v>
      </c>
      <c r="Q778" s="192">
        <f>IF(AND(Daten!$AA778&lt;=KINVARO!$AW$4,Daten!$AB778&gt;=KINVARO!$AW$4)=TRUE,1,0)</f>
        <v>0</v>
      </c>
      <c r="R778" s="192"/>
      <c r="S778" s="192">
        <f>IF(AND(Daten!$AD778&lt;=Limits!$I$70,Daten!$AE778&gt;=Limits!$I$70)=TRUE,1,0)</f>
        <v>0</v>
      </c>
      <c r="T778" s="193">
        <f ca="1">IF(Daten!$Y778=Sprache!$A$135,1,0)</f>
        <v>0</v>
      </c>
      <c r="U778" s="124" t="str">
        <f ca="1">Sprache!$A$69</f>
        <v>S-35 Откидной подъемник</v>
      </c>
      <c r="V778" s="194">
        <v>13</v>
      </c>
      <c r="W778" s="193">
        <v>17</v>
      </c>
      <c r="X778" s="187" t="str">
        <f ca="1">Sprache!$A$142</f>
        <v>Alu (Rahmen 19mm)</v>
      </c>
      <c r="Y778" s="187" t="str">
        <f ca="1">Sprache!$A$136</f>
        <v>nein</v>
      </c>
      <c r="Z778" s="187" t="str">
        <f ca="1">Sprache!$A$79</f>
        <v>Створка</v>
      </c>
      <c r="AA778" s="187">
        <v>600</v>
      </c>
      <c r="AB778" s="124">
        <v>629</v>
      </c>
      <c r="AC778" s="187"/>
      <c r="AD778" s="195">
        <v>2</v>
      </c>
      <c r="AE778" s="196">
        <v>5.5</v>
      </c>
      <c r="AF778" s="263" t="str">
        <f>MID(Tabelle2[[#This Row],[bnr full]],1,4)</f>
        <v>F152</v>
      </c>
      <c r="AG778" s="264" t="str">
        <f>MID(Tabelle2[[#This Row],[bnr full]],5,3)</f>
        <v>000</v>
      </c>
      <c r="AH778" s="265" t="str">
        <f>MID(Tabelle2[[#This Row],[bnr full]],8,3)</f>
        <v>255</v>
      </c>
      <c r="AI778" s="283" t="str">
        <f>MID(Tabelle2[[#This Row],[bnr full]],11,3)</f>
        <v>201</v>
      </c>
      <c r="AJ778" s="247" t="str">
        <f>MID(Tabelle2[[#This Row],[bnr full]],11,3)</f>
        <v>201</v>
      </c>
      <c r="AK778" s="284" t="s">
        <v>809</v>
      </c>
      <c r="AL778" s="187" t="str">
        <f ca="1">Sprache!$A$111</f>
        <v>Комплект (Л + П)</v>
      </c>
      <c r="AM778" s="187" t="s">
        <v>25</v>
      </c>
      <c r="AN778" s="187" t="str">
        <f ca="1">Sprache!$A$120</f>
        <v>Силовой механизм A</v>
      </c>
      <c r="AO778" s="187" t="str">
        <f ca="1">Sprache!$A$147</f>
        <v>Адаптер под алюминиевые рамки к комплекту Kinvaro S-35</v>
      </c>
      <c r="AP778" s="187" t="s">
        <v>814</v>
      </c>
      <c r="AQ778" s="187">
        <v>450</v>
      </c>
      <c r="AR778" s="124">
        <v>1200</v>
      </c>
      <c r="AS778" s="187"/>
      <c r="AT778" s="124"/>
      <c r="AV778"/>
      <c r="AX778" s="10"/>
      <c r="AY778" s="11"/>
      <c r="AZ778" s="2"/>
      <c r="BC778"/>
    </row>
    <row r="779" spans="1:55" hidden="1" x14ac:dyDescent="0.25">
      <c r="A779" s="12" t="str">
        <f ca="1">IF(F779+G779+H779+I779+J779+D779+E779=3,IF(Tabelle2[[#This Row],[Kappe Weiß]]=Limits!$R$29,1,""),"")</f>
        <v/>
      </c>
      <c r="B779" s="282" t="str">
        <f ca="1">IF(G779+H779+I779+J779+E779+F779=2,IF(Tabelle2[[#This Row],[Kappe Weiß]]=Limits!$R$29,1,""),"")</f>
        <v/>
      </c>
      <c r="C779" s="291">
        <v>1</v>
      </c>
      <c r="D779" s="171">
        <f>IF(Limits!$P$5=TRUE,1,0)</f>
        <v>0</v>
      </c>
      <c r="E779" s="172">
        <f>IF(Daten!$P779+Daten!$Q779+Daten!$S779=3,1,0)</f>
        <v>0</v>
      </c>
      <c r="F779" s="173">
        <f ca="1">IF(AND(Limits!$Q$21=TRUE,Daten!O779=1)=TRUE,1,0)</f>
        <v>0</v>
      </c>
      <c r="G779" s="174">
        <f>IF(AND(Limits!$Q$25=TRUE,Daten!N779=1)=TRUE,1,0)</f>
        <v>0</v>
      </c>
      <c r="H779" s="174">
        <f>IF(AND(Limits!$Q$24=TRUE,Daten!M779=1)=TRUE,1,0)</f>
        <v>0</v>
      </c>
      <c r="I779" s="174">
        <f>IF(AND(Limits!$Q$23=TRUE,Daten!L779=1)=TRUE,1,0)</f>
        <v>0</v>
      </c>
      <c r="J779" s="174">
        <f>IF(AND(Limits!$Q$22=TRUE,Daten!K779=1)=TRUE,1,0)</f>
        <v>0</v>
      </c>
      <c r="K779" s="188">
        <f>IF(Daten!$V779=13,1,0)</f>
        <v>1</v>
      </c>
      <c r="L779" s="189">
        <f>IF(Daten!$V779&lt;&gt;Daten!$W779,1,IF(Daten!$V779=14,1,0))</f>
        <v>1</v>
      </c>
      <c r="M779" s="189">
        <f>IF(Daten!$V779&lt;&gt;Daten!$W779,1,IF(Daten!$V779=16,1,0))</f>
        <v>1</v>
      </c>
      <c r="N779" s="189">
        <f>IF(Daten!$W779=17,1,0)</f>
        <v>1</v>
      </c>
      <c r="O779" s="190">
        <f ca="1">IF(Daten!$X779=Sprache!$A$70,1,0)</f>
        <v>0</v>
      </c>
      <c r="P779" s="191">
        <f>IF(AND(Daten!$AQ779&lt;=KINVARO!$AW$3,Daten!$AR779&gt;=KINVARO!$AW$3)=TRUE,1,0)</f>
        <v>1</v>
      </c>
      <c r="Q779" s="192">
        <f>IF(AND(Daten!$AA779&lt;=KINVARO!$AW$4,Daten!$AB779&gt;=KINVARO!$AW$4)=TRUE,1,0)</f>
        <v>0</v>
      </c>
      <c r="R779" s="192"/>
      <c r="S779" s="192">
        <f>IF(AND(Daten!$AD779&lt;=Limits!$I$70,Daten!$AE779&gt;=Limits!$I$70)=TRUE,1,0)</f>
        <v>1</v>
      </c>
      <c r="T779" s="193">
        <f ca="1">IF(Daten!$Y779=Sprache!$A$135,1,0)</f>
        <v>0</v>
      </c>
      <c r="U779" s="124" t="str">
        <f ca="1">Sprache!$A$69</f>
        <v>S-35 Откидной подъемник</v>
      </c>
      <c r="V779" s="194">
        <v>13</v>
      </c>
      <c r="W779" s="193">
        <v>17</v>
      </c>
      <c r="X779" s="187" t="str">
        <f ca="1">Sprache!$A$142</f>
        <v>Alu (Rahmen 19mm)</v>
      </c>
      <c r="Y779" s="187" t="str">
        <f ca="1">Sprache!$A$136</f>
        <v>nein</v>
      </c>
      <c r="Z779" s="187" t="str">
        <f ca="1">Sprache!$A$79</f>
        <v>Створка</v>
      </c>
      <c r="AA779" s="187">
        <v>600</v>
      </c>
      <c r="AB779" s="124">
        <v>629</v>
      </c>
      <c r="AC779" s="187"/>
      <c r="AD779" s="195">
        <v>4.5</v>
      </c>
      <c r="AE779" s="196">
        <v>10</v>
      </c>
      <c r="AF779" s="263" t="str">
        <f>MID(Tabelle2[[#This Row],[bnr full]],1,4)</f>
        <v>F152</v>
      </c>
      <c r="AG779" s="264" t="str">
        <f>MID(Tabelle2[[#This Row],[bnr full]],5,3)</f>
        <v>000</v>
      </c>
      <c r="AH779" s="265" t="str">
        <f>MID(Tabelle2[[#This Row],[bnr full]],8,3)</f>
        <v>256</v>
      </c>
      <c r="AI779" s="283" t="str">
        <f>MID(Tabelle2[[#This Row],[bnr full]],11,3)</f>
        <v>201</v>
      </c>
      <c r="AJ779" s="247" t="str">
        <f>MID(Tabelle2[[#This Row],[bnr full]],11,3)</f>
        <v>201</v>
      </c>
      <c r="AK779" s="284" t="s">
        <v>810</v>
      </c>
      <c r="AL779" s="187" t="str">
        <f ca="1">Sprache!$A$111</f>
        <v>Комплект (Л + П)</v>
      </c>
      <c r="AM779" s="187" t="s">
        <v>25</v>
      </c>
      <c r="AN779" s="187" t="str">
        <f ca="1">Sprache!$A$121</f>
        <v>Силовой механизм B</v>
      </c>
      <c r="AO779" s="187" t="str">
        <f ca="1">Sprache!$A$147</f>
        <v>Адаптер под алюминиевые рамки к комплекту Kinvaro S-35</v>
      </c>
      <c r="AP779" s="187" t="s">
        <v>814</v>
      </c>
      <c r="AQ779" s="187">
        <v>450</v>
      </c>
      <c r="AR779" s="124">
        <v>1200</v>
      </c>
      <c r="AS779" s="187"/>
      <c r="AT779" s="124"/>
      <c r="AV779"/>
      <c r="AX779" s="10"/>
      <c r="AY779" s="11"/>
      <c r="AZ779" s="2"/>
      <c r="BC779"/>
    </row>
    <row r="780" spans="1:55" hidden="1" x14ac:dyDescent="0.25">
      <c r="A780" s="12" t="str">
        <f ca="1">IF(F780+G780+H780+I780+J780+D780+E780=3,IF(Tabelle2[[#This Row],[Kappe Weiß]]=Limits!$R$29,1,""),"")</f>
        <v/>
      </c>
      <c r="B780" s="282" t="str">
        <f ca="1">IF(G780+H780+I780+J780+E780+F780=2,IF(Tabelle2[[#This Row],[Kappe Weiß]]=Limits!$R$29,1,""),"")</f>
        <v/>
      </c>
      <c r="C780" s="291">
        <v>1</v>
      </c>
      <c r="D780" s="171">
        <f>IF(Limits!$P$5=TRUE,1,0)</f>
        <v>0</v>
      </c>
      <c r="E780" s="172">
        <f>IF(Daten!$P780+Daten!$Q780+Daten!$S780=3,1,0)</f>
        <v>0</v>
      </c>
      <c r="F780" s="173">
        <f ca="1">IF(AND(Limits!$Q$21=TRUE,Daten!O780=1)=TRUE,1,0)</f>
        <v>0</v>
      </c>
      <c r="G780" s="174">
        <f>IF(AND(Limits!$Q$25=TRUE,Daten!N780=1)=TRUE,1,0)</f>
        <v>0</v>
      </c>
      <c r="H780" s="174">
        <f>IF(AND(Limits!$Q$24=TRUE,Daten!M780=1)=TRUE,1,0)</f>
        <v>0</v>
      </c>
      <c r="I780" s="174">
        <f>IF(AND(Limits!$Q$23=TRUE,Daten!L780=1)=TRUE,1,0)</f>
        <v>0</v>
      </c>
      <c r="J780" s="174">
        <f>IF(AND(Limits!$Q$22=TRUE,Daten!K780=1)=TRUE,1,0)</f>
        <v>0</v>
      </c>
      <c r="K780" s="188">
        <f>IF(Daten!$V780=13,1,0)</f>
        <v>1</v>
      </c>
      <c r="L780" s="189">
        <f>IF(Daten!$V780&lt;&gt;Daten!$W780,1,IF(Daten!$V780=14,1,0))</f>
        <v>1</v>
      </c>
      <c r="M780" s="189">
        <f>IF(Daten!$V780&lt;&gt;Daten!$W780,1,IF(Daten!$V780=16,1,0))</f>
        <v>1</v>
      </c>
      <c r="N780" s="189">
        <f>IF(Daten!$W780=17,1,0)</f>
        <v>1</v>
      </c>
      <c r="O780" s="190">
        <f ca="1">IF(Daten!$X780=Sprache!$A$70,1,0)</f>
        <v>0</v>
      </c>
      <c r="P780" s="191">
        <f>IF(AND(Daten!$AQ780&lt;=KINVARO!$AW$3,Daten!$AR780&gt;=KINVARO!$AW$3)=TRUE,1,0)</f>
        <v>1</v>
      </c>
      <c r="Q780" s="192">
        <f>IF(AND(Daten!$AA780&lt;=KINVARO!$AW$4,Daten!$AB780&gt;=KINVARO!$AW$4)=TRUE,1,0)</f>
        <v>0</v>
      </c>
      <c r="R780" s="192"/>
      <c r="S780" s="192">
        <f>IF(AND(Daten!$AD780&lt;=Limits!$I$70,Daten!$AE780&gt;=Limits!$I$70)=TRUE,1,0)</f>
        <v>1</v>
      </c>
      <c r="T780" s="193">
        <f ca="1">IF(Daten!$Y780=Sprache!$A$135,1,0)</f>
        <v>0</v>
      </c>
      <c r="U780" s="124" t="str">
        <f ca="1">Sprache!$A$69</f>
        <v>S-35 Откидной подъемник</v>
      </c>
      <c r="V780" s="194">
        <v>13</v>
      </c>
      <c r="W780" s="193">
        <v>17</v>
      </c>
      <c r="X780" s="187" t="str">
        <f ca="1">Sprache!$A$142</f>
        <v>Alu (Rahmen 19mm)</v>
      </c>
      <c r="Y780" s="187" t="str">
        <f ca="1">Sprache!$A$136</f>
        <v>nein</v>
      </c>
      <c r="Z780" s="187" t="str">
        <f ca="1">Sprache!$A$79</f>
        <v>Створка</v>
      </c>
      <c r="AA780" s="187">
        <v>600</v>
      </c>
      <c r="AB780" s="124">
        <v>629</v>
      </c>
      <c r="AC780" s="187"/>
      <c r="AD780" s="195">
        <v>5.5</v>
      </c>
      <c r="AE780" s="196">
        <v>11.5</v>
      </c>
      <c r="AF780" s="263" t="str">
        <f>MID(Tabelle2[[#This Row],[bnr full]],1,4)</f>
        <v>F152</v>
      </c>
      <c r="AG780" s="264" t="str">
        <f>MID(Tabelle2[[#This Row],[bnr full]],5,3)</f>
        <v>000</v>
      </c>
      <c r="AH780" s="265" t="str">
        <f>MID(Tabelle2[[#This Row],[bnr full]],8,3)</f>
        <v>257</v>
      </c>
      <c r="AI780" s="283" t="str">
        <f>MID(Tabelle2[[#This Row],[bnr full]],11,3)</f>
        <v>201</v>
      </c>
      <c r="AJ780" s="247" t="str">
        <f>MID(Tabelle2[[#This Row],[bnr full]],11,3)</f>
        <v>201</v>
      </c>
      <c r="AK780" s="284" t="s">
        <v>811</v>
      </c>
      <c r="AL780" s="187" t="str">
        <f ca="1">Sprache!$A$111</f>
        <v>Комплект (Л + П)</v>
      </c>
      <c r="AM780" s="187" t="s">
        <v>25</v>
      </c>
      <c r="AN780" s="187" t="str">
        <f ca="1">Sprache!$A$122</f>
        <v>Силовой механизм C</v>
      </c>
      <c r="AO780" s="187" t="str">
        <f ca="1">Sprache!$A$147</f>
        <v>Адаптер под алюминиевые рамки к комплекту Kinvaro S-35</v>
      </c>
      <c r="AP780" s="187" t="s">
        <v>814</v>
      </c>
      <c r="AQ780" s="187">
        <v>450</v>
      </c>
      <c r="AR780" s="124">
        <v>1200</v>
      </c>
      <c r="AS780" s="187"/>
      <c r="AT780" s="124"/>
      <c r="AV780"/>
      <c r="AX780" s="10"/>
      <c r="AY780" s="11"/>
      <c r="AZ780" s="2"/>
      <c r="BC780"/>
    </row>
    <row r="781" spans="1:55" hidden="1" x14ac:dyDescent="0.25">
      <c r="A781" s="12" t="str">
        <f ca="1">IF(F781+G781+H781+I781+J781+D781+E781=3,IF(Tabelle2[[#This Row],[Kappe Weiß]]=Limits!$R$29,1,""),"")</f>
        <v/>
      </c>
      <c r="B781" s="282" t="str">
        <f ca="1">IF(G781+H781+I781+J781+E781+F781=2,IF(Tabelle2[[#This Row],[Kappe Weiß]]=Limits!$R$29,1,""),"")</f>
        <v/>
      </c>
      <c r="C781" s="291">
        <v>1</v>
      </c>
      <c r="D781" s="171">
        <f>IF(Limits!$P$5=TRUE,1,0)</f>
        <v>0</v>
      </c>
      <c r="E781" s="172">
        <f>IF(Daten!$P781+Daten!$Q781+Daten!$S781=3,1,0)</f>
        <v>0</v>
      </c>
      <c r="F781" s="173">
        <f ca="1">IF(AND(Limits!$Q$21=TRUE,Daten!O781=1)=TRUE,1,0)</f>
        <v>0</v>
      </c>
      <c r="G781" s="174">
        <f>IF(AND(Limits!$Q$25=TRUE,Daten!N781=1)=TRUE,1,0)</f>
        <v>0</v>
      </c>
      <c r="H781" s="174">
        <f>IF(AND(Limits!$Q$24=TRUE,Daten!M781=1)=TRUE,1,0)</f>
        <v>0</v>
      </c>
      <c r="I781" s="174">
        <f>IF(AND(Limits!$Q$23=TRUE,Daten!L781=1)=TRUE,1,0)</f>
        <v>0</v>
      </c>
      <c r="J781" s="174">
        <f>IF(AND(Limits!$Q$22=TRUE,Daten!K781=1)=TRUE,1,0)</f>
        <v>0</v>
      </c>
      <c r="K781" s="188">
        <f>IF(Daten!$V781=13,1,0)</f>
        <v>1</v>
      </c>
      <c r="L781" s="189">
        <f>IF(Daten!$V781&lt;&gt;Daten!$W781,1,IF(Daten!$V781=14,1,0))</f>
        <v>1</v>
      </c>
      <c r="M781" s="189">
        <f>IF(Daten!$V781&lt;&gt;Daten!$W781,1,IF(Daten!$V781=16,1,0))</f>
        <v>1</v>
      </c>
      <c r="N781" s="189">
        <f>IF(Daten!$W781=17,1,0)</f>
        <v>1</v>
      </c>
      <c r="O781" s="190">
        <f ca="1">IF(Daten!$X781=Sprache!$A$70,1,0)</f>
        <v>0</v>
      </c>
      <c r="P781" s="191">
        <f>IF(AND(Daten!$AQ781&lt;=KINVARO!$AW$3,Daten!$AR781&gt;=KINVARO!$AW$3)=TRUE,1,0)</f>
        <v>1</v>
      </c>
      <c r="Q781" s="192">
        <f>IF(AND(Daten!$AA781&lt;=KINVARO!$AW$4,Daten!$AB781&gt;=KINVARO!$AW$4)=TRUE,1,0)</f>
        <v>0</v>
      </c>
      <c r="R781" s="192"/>
      <c r="S781" s="192">
        <f>IF(AND(Daten!$AD781&lt;=Limits!$I$70,Daten!$AE781&gt;=Limits!$I$70)=TRUE,1,0)</f>
        <v>0</v>
      </c>
      <c r="T781" s="193">
        <f ca="1">IF(Daten!$Y781=Sprache!$A$135,1,0)</f>
        <v>0</v>
      </c>
      <c r="U781" s="124" t="str">
        <f ca="1">Sprache!$A$69</f>
        <v>S-35 Откидной подъемник</v>
      </c>
      <c r="V781" s="194">
        <v>13</v>
      </c>
      <c r="W781" s="193">
        <v>17</v>
      </c>
      <c r="X781" s="187" t="str">
        <f ca="1">Sprache!$A$142</f>
        <v>Alu (Rahmen 19mm)</v>
      </c>
      <c r="Y781" s="187" t="str">
        <f ca="1">Sprache!$A$136</f>
        <v>nein</v>
      </c>
      <c r="Z781" s="187" t="str">
        <f ca="1">Sprache!$A$79</f>
        <v>Створка</v>
      </c>
      <c r="AA781" s="187">
        <v>600</v>
      </c>
      <c r="AB781" s="124">
        <v>629</v>
      </c>
      <c r="AC781" s="187"/>
      <c r="AD781" s="195">
        <v>10.5</v>
      </c>
      <c r="AE781" s="196">
        <v>15.5</v>
      </c>
      <c r="AF781" s="263" t="str">
        <f>MID(Tabelle2[[#This Row],[bnr full]],1,4)</f>
        <v>F152</v>
      </c>
      <c r="AG781" s="264" t="str">
        <f>MID(Tabelle2[[#This Row],[bnr full]],5,3)</f>
        <v>000</v>
      </c>
      <c r="AH781" s="265" t="str">
        <f>MID(Tabelle2[[#This Row],[bnr full]],8,3)</f>
        <v>258</v>
      </c>
      <c r="AI781" s="283" t="str">
        <f>MID(Tabelle2[[#This Row],[bnr full]],11,3)</f>
        <v>201</v>
      </c>
      <c r="AJ781" s="247" t="str">
        <f>MID(Tabelle2[[#This Row],[bnr full]],11,3)</f>
        <v>201</v>
      </c>
      <c r="AK781" s="284" t="s">
        <v>812</v>
      </c>
      <c r="AL781" s="187" t="str">
        <f ca="1">Sprache!$A$111</f>
        <v>Комплект (Л + П)</v>
      </c>
      <c r="AM781" s="187" t="s">
        <v>25</v>
      </c>
      <c r="AN781" s="187" t="str">
        <f ca="1">Sprache!$A$123</f>
        <v>Силовой механизм D</v>
      </c>
      <c r="AO781" s="187" t="str">
        <f ca="1">Sprache!$A$147</f>
        <v>Адаптер под алюминиевые рамки к комплекту Kinvaro S-35</v>
      </c>
      <c r="AP781" s="187" t="s">
        <v>814</v>
      </c>
      <c r="AQ781" s="187">
        <v>450</v>
      </c>
      <c r="AR781" s="124">
        <v>1200</v>
      </c>
      <c r="AS781" s="187"/>
      <c r="AT781" s="124"/>
      <c r="AV781"/>
      <c r="AX781" s="10"/>
      <c r="AY781" s="11"/>
      <c r="AZ781" s="2"/>
      <c r="BC781"/>
    </row>
    <row r="782" spans="1:55" hidden="1" x14ac:dyDescent="0.25">
      <c r="A782" s="12" t="str">
        <f ca="1">IF(F782+G782+H782+I782+J782+D782+E782=3,IF(Tabelle2[[#This Row],[Kappe Weiß]]=Limits!$R$29,1,""),"")</f>
        <v/>
      </c>
      <c r="B782" s="282" t="str">
        <f ca="1">IF(G782+H782+I782+J782+E782+F782=2,IF(Tabelle2[[#This Row],[Kappe Weiß]]=Limits!$R$29,1,""),"")</f>
        <v/>
      </c>
      <c r="C782" s="292">
        <v>1</v>
      </c>
      <c r="D782" s="171">
        <f>IF(Limits!$P$5=TRUE,1,0)</f>
        <v>0</v>
      </c>
      <c r="E782" s="172">
        <f>IF(Daten!$P782+Daten!$Q782+Daten!$S782=3,1,0)</f>
        <v>0</v>
      </c>
      <c r="F782" s="173">
        <f ca="1">IF(AND(Limits!$Q$21=TRUE,Daten!O782=1)=TRUE,1,0)</f>
        <v>1</v>
      </c>
      <c r="G782" s="174">
        <f ca="1">IF(AND(Limits!$Q$25=TRUE,Daten!N782=1)=TRUE,1,0)</f>
        <v>0</v>
      </c>
      <c r="H782" s="174">
        <f ca="1">IF(AND(Limits!$Q$24=TRUE,Daten!M782=1)=TRUE,1,0)</f>
        <v>0</v>
      </c>
      <c r="I782" s="174">
        <f ca="1">IF(AND(Limits!$Q$23=TRUE,Daten!L782=1)=TRUE,1,0)</f>
        <v>0</v>
      </c>
      <c r="J782" s="174">
        <f ca="1">IF(AND(Limits!$Q$22=TRUE,Daten!K782=1)=TRUE,1,0)</f>
        <v>0</v>
      </c>
      <c r="K782" s="188">
        <f ca="1">IF(Daten!$V782=13,1,0)</f>
        <v>0</v>
      </c>
      <c r="L782" s="189">
        <f ca="1">IF(Daten!$V782&lt;&gt;Daten!$W782,1,IF(Daten!$V782=14,1,0))</f>
        <v>0</v>
      </c>
      <c r="M782" s="189">
        <f ca="1">IF(Daten!$V782&lt;&gt;Daten!$W782,1,IF(Daten!$V782=16,1,0))</f>
        <v>0</v>
      </c>
      <c r="N782" s="189">
        <f ca="1">IF(Daten!$W782=17,1,0)</f>
        <v>0</v>
      </c>
      <c r="O782" s="190">
        <f ca="1">IF(Daten!$X782=Sprache!$A$70,1,0)</f>
        <v>1</v>
      </c>
      <c r="P782" s="198">
        <f>IF(AND(Daten!$AQ782&lt;=KINVARO!$AW$3,Daten!$AR782&gt;=KINVARO!$AW$3)=TRUE,1,0)</f>
        <v>1</v>
      </c>
      <c r="Q782" s="199">
        <f>IF(AND(Daten!$AA782&lt;=KINVARO!$AW$4,Daten!$AB782&gt;=KINVARO!$AW$4)=TRUE,1,0)</f>
        <v>0</v>
      </c>
      <c r="R782" s="199"/>
      <c r="S782" s="199">
        <f>IF(AND(Daten!$AD782&lt;=Limits!$I$70,Daten!$AE782&gt;=Limits!$I$70)=TRUE,1,0)</f>
        <v>0</v>
      </c>
      <c r="T782" s="200">
        <f ca="1">IF(Daten!$Y782=Sprache!$A$135,1,0)</f>
        <v>0</v>
      </c>
      <c r="U782" s="201" t="str">
        <f ca="1">Sprache!$A$69</f>
        <v>S-35 Откидной подъемник</v>
      </c>
      <c r="V782" s="194" t="str">
        <f ca="1">Sprache!$A$74</f>
        <v>var</v>
      </c>
      <c r="W782" s="200" t="str">
        <f ca="1">Sprache!$A$74</f>
        <v>var</v>
      </c>
      <c r="X782" s="187" t="str">
        <f ca="1">Sprache!$A$70</f>
        <v>соединение с древесиной</v>
      </c>
      <c r="Y782" s="187" t="str">
        <f ca="1">Sprache!$A$136</f>
        <v>nein</v>
      </c>
      <c r="Z782" s="187" t="str">
        <f ca="1">Sprache!$A$79</f>
        <v>Створка</v>
      </c>
      <c r="AA782" s="187">
        <v>630</v>
      </c>
      <c r="AB782" s="201">
        <v>659</v>
      </c>
      <c r="AC782" s="187"/>
      <c r="AD782" s="195">
        <v>2</v>
      </c>
      <c r="AE782" s="205">
        <v>5.5</v>
      </c>
      <c r="AF782" s="263" t="str">
        <f>MID(Tabelle2[[#This Row],[bnr full]],1,4)</f>
        <v>F152</v>
      </c>
      <c r="AG782" s="267" t="str">
        <f>MID(Tabelle2[[#This Row],[bnr full]],5,3)</f>
        <v>000</v>
      </c>
      <c r="AH782" s="268" t="str">
        <f>MID(Tabelle2[[#This Row],[bnr full]],8,3)</f>
        <v>255</v>
      </c>
      <c r="AI782" s="286" t="str">
        <f>MID(Tabelle2[[#This Row],[bnr full]],11,3)</f>
        <v>201</v>
      </c>
      <c r="AJ782" s="248" t="str">
        <f>MID(Tabelle2[[#This Row],[bnr full]],11,3)</f>
        <v>201</v>
      </c>
      <c r="AK782" s="284" t="s">
        <v>809</v>
      </c>
      <c r="AL782" s="187" t="str">
        <f ca="1">Sprache!$A$111</f>
        <v>Комплект (Л + П)</v>
      </c>
      <c r="AM782" s="187" t="s">
        <v>25</v>
      </c>
      <c r="AN782" s="187" t="str">
        <f ca="1">Sprache!$A$120</f>
        <v>Силовой механизм A</v>
      </c>
      <c r="AO782" s="187" t="s">
        <v>25</v>
      </c>
      <c r="AP782" s="187" t="s">
        <v>25</v>
      </c>
      <c r="AQ782" s="187">
        <v>450</v>
      </c>
      <c r="AR782" s="201">
        <v>1200</v>
      </c>
      <c r="AS782" s="187"/>
      <c r="AT782" s="124"/>
      <c r="AV782"/>
      <c r="AX782" s="10"/>
      <c r="AY782" s="11"/>
      <c r="AZ782" s="2"/>
      <c r="BC782"/>
    </row>
    <row r="783" spans="1:55" hidden="1" x14ac:dyDescent="0.25">
      <c r="A783" s="12" t="str">
        <f ca="1">IF(F783+G783+H783+I783+J783+D783+E783=3,IF(Tabelle2[[#This Row],[Kappe Weiß]]=Limits!$R$29,1,""),"")</f>
        <v/>
      </c>
      <c r="B783" s="282" t="str">
        <f ca="1">IF(G783+H783+I783+J783+E783+F783=2,IF(Tabelle2[[#This Row],[Kappe Weiß]]=Limits!$R$29,1,""),"")</f>
        <v/>
      </c>
      <c r="C783" s="291">
        <v>1</v>
      </c>
      <c r="D783" s="171">
        <f>IF(Limits!$P$5=TRUE,1,0)</f>
        <v>0</v>
      </c>
      <c r="E783" s="172">
        <f>IF(Daten!$P783+Daten!$Q783+Daten!$S783=3,1,0)</f>
        <v>0</v>
      </c>
      <c r="F783" s="173">
        <f ca="1">IF(AND(Limits!$Q$21=TRUE,Daten!O783=1)=TRUE,1,0)</f>
        <v>1</v>
      </c>
      <c r="G783" s="174">
        <f ca="1">IF(AND(Limits!$Q$25=TRUE,Daten!N783=1)=TRUE,1,0)</f>
        <v>0</v>
      </c>
      <c r="H783" s="174">
        <f ca="1">IF(AND(Limits!$Q$24=TRUE,Daten!M783=1)=TRUE,1,0)</f>
        <v>0</v>
      </c>
      <c r="I783" s="174">
        <f ca="1">IF(AND(Limits!$Q$23=TRUE,Daten!L783=1)=TRUE,1,0)</f>
        <v>0</v>
      </c>
      <c r="J783" s="174">
        <f ca="1">IF(AND(Limits!$Q$22=TRUE,Daten!K783=1)=TRUE,1,0)</f>
        <v>0</v>
      </c>
      <c r="K783" s="188">
        <f ca="1">IF(Daten!$V783=13,1,0)</f>
        <v>0</v>
      </c>
      <c r="L783" s="189">
        <f ca="1">IF(Daten!$V783&lt;&gt;Daten!$W783,1,IF(Daten!$V783=14,1,0))</f>
        <v>0</v>
      </c>
      <c r="M783" s="189">
        <f ca="1">IF(Daten!$V783&lt;&gt;Daten!$W783,1,IF(Daten!$V783=16,1,0))</f>
        <v>0</v>
      </c>
      <c r="N783" s="189">
        <f ca="1">IF(Daten!$W783=17,1,0)</f>
        <v>0</v>
      </c>
      <c r="O783" s="190">
        <f ca="1">IF(Daten!$X783=Sprache!$A$70,1,0)</f>
        <v>1</v>
      </c>
      <c r="P783" s="191">
        <f>IF(AND(Daten!$AQ783&lt;=KINVARO!$AW$3,Daten!$AR783&gt;=KINVARO!$AW$3)=TRUE,1,0)</f>
        <v>1</v>
      </c>
      <c r="Q783" s="192">
        <f>IF(AND(Daten!$AA783&lt;=KINVARO!$AW$4,Daten!$AB783&gt;=KINVARO!$AW$4)=TRUE,1,0)</f>
        <v>0</v>
      </c>
      <c r="R783" s="192"/>
      <c r="S783" s="192">
        <f>IF(AND(Daten!$AD783&lt;=Limits!$I$70,Daten!$AE783&gt;=Limits!$I$70)=TRUE,1,0)</f>
        <v>1</v>
      </c>
      <c r="T783" s="193">
        <f ca="1">IF(Daten!$Y783=Sprache!$A$135,1,0)</f>
        <v>0</v>
      </c>
      <c r="U783" s="124" t="str">
        <f ca="1">Sprache!$A$69</f>
        <v>S-35 Откидной подъемник</v>
      </c>
      <c r="V783" s="194" t="str">
        <f ca="1">Sprache!$A$74</f>
        <v>var</v>
      </c>
      <c r="W783" s="193" t="str">
        <f ca="1">Sprache!$A$74</f>
        <v>var</v>
      </c>
      <c r="X783" s="187" t="str">
        <f ca="1">Sprache!$A$70</f>
        <v>соединение с древесиной</v>
      </c>
      <c r="Y783" s="187" t="str">
        <f ca="1">Sprache!$A$136</f>
        <v>nein</v>
      </c>
      <c r="Z783" s="187" t="str">
        <f ca="1">Sprache!$A$79</f>
        <v>Створка</v>
      </c>
      <c r="AA783" s="187">
        <v>630</v>
      </c>
      <c r="AB783" s="124">
        <v>659</v>
      </c>
      <c r="AC783" s="187"/>
      <c r="AD783" s="195">
        <v>4.5</v>
      </c>
      <c r="AE783" s="196">
        <v>11</v>
      </c>
      <c r="AF783" s="263" t="str">
        <f>MID(Tabelle2[[#This Row],[bnr full]],1,4)</f>
        <v>F152</v>
      </c>
      <c r="AG783" s="264" t="str">
        <f>MID(Tabelle2[[#This Row],[bnr full]],5,3)</f>
        <v>000</v>
      </c>
      <c r="AH783" s="265" t="str">
        <f>MID(Tabelle2[[#This Row],[bnr full]],8,3)</f>
        <v>257</v>
      </c>
      <c r="AI783" s="283" t="str">
        <f>MID(Tabelle2[[#This Row],[bnr full]],11,3)</f>
        <v>201</v>
      </c>
      <c r="AJ783" s="247" t="str">
        <f>MID(Tabelle2[[#This Row],[bnr full]],11,3)</f>
        <v>201</v>
      </c>
      <c r="AK783" s="284" t="s">
        <v>811</v>
      </c>
      <c r="AL783" s="187" t="str">
        <f ca="1">Sprache!$A$111</f>
        <v>Комплект (Л + П)</v>
      </c>
      <c r="AM783" s="187" t="s">
        <v>25</v>
      </c>
      <c r="AN783" s="187" t="str">
        <f ca="1">Sprache!$A$122</f>
        <v>Силовой механизм C</v>
      </c>
      <c r="AO783" s="187" t="s">
        <v>25</v>
      </c>
      <c r="AP783" s="187" t="s">
        <v>25</v>
      </c>
      <c r="AQ783" s="187">
        <v>450</v>
      </c>
      <c r="AR783" s="124">
        <v>1200</v>
      </c>
      <c r="AS783" s="187"/>
      <c r="AT783" s="124"/>
      <c r="AV783"/>
      <c r="AX783" s="10"/>
      <c r="AY783" s="11"/>
      <c r="AZ783" s="2"/>
      <c r="BC783"/>
    </row>
    <row r="784" spans="1:55" hidden="1" x14ac:dyDescent="0.25">
      <c r="A784" s="12" t="str">
        <f ca="1">IF(F784+G784+H784+I784+J784+D784+E784=3,IF(Tabelle2[[#This Row],[Kappe Weiß]]=Limits!$R$29,1,""),"")</f>
        <v/>
      </c>
      <c r="B784" s="282" t="str">
        <f ca="1">IF(G784+H784+I784+J784+E784+F784=2,IF(Tabelle2[[#This Row],[Kappe Weiß]]=Limits!$R$29,1,""),"")</f>
        <v/>
      </c>
      <c r="C784" s="291">
        <v>1</v>
      </c>
      <c r="D784" s="171">
        <f>IF(Limits!$P$5=TRUE,1,0)</f>
        <v>0</v>
      </c>
      <c r="E784" s="172">
        <f>IF(Daten!$P784+Daten!$Q784+Daten!$S784=3,1,0)</f>
        <v>0</v>
      </c>
      <c r="F784" s="173">
        <f ca="1">IF(AND(Limits!$Q$21=TRUE,Daten!O784=1)=TRUE,1,0)</f>
        <v>1</v>
      </c>
      <c r="G784" s="174">
        <f ca="1">IF(AND(Limits!$Q$25=TRUE,Daten!N784=1)=TRUE,1,0)</f>
        <v>0</v>
      </c>
      <c r="H784" s="174">
        <f ca="1">IF(AND(Limits!$Q$24=TRUE,Daten!M784=1)=TRUE,1,0)</f>
        <v>0</v>
      </c>
      <c r="I784" s="174">
        <f ca="1">IF(AND(Limits!$Q$23=TRUE,Daten!L784=1)=TRUE,1,0)</f>
        <v>0</v>
      </c>
      <c r="J784" s="174">
        <f ca="1">IF(AND(Limits!$Q$22=TRUE,Daten!K784=1)=TRUE,1,0)</f>
        <v>0</v>
      </c>
      <c r="K784" s="188">
        <f ca="1">IF(Daten!$V784=13,1,0)</f>
        <v>0</v>
      </c>
      <c r="L784" s="189">
        <f ca="1">IF(Daten!$V784&lt;&gt;Daten!$W784,1,IF(Daten!$V784=14,1,0))</f>
        <v>0</v>
      </c>
      <c r="M784" s="189">
        <f ca="1">IF(Daten!$V784&lt;&gt;Daten!$W784,1,IF(Daten!$V784=16,1,0))</f>
        <v>0</v>
      </c>
      <c r="N784" s="189">
        <f ca="1">IF(Daten!$W784=17,1,0)</f>
        <v>0</v>
      </c>
      <c r="O784" s="190">
        <f ca="1">IF(Daten!$X784=Sprache!$A$70,1,0)</f>
        <v>1</v>
      </c>
      <c r="P784" s="191">
        <f>IF(AND(Daten!$AQ784&lt;=KINVARO!$AW$3,Daten!$AR784&gt;=KINVARO!$AW$3)=TRUE,1,0)</f>
        <v>1</v>
      </c>
      <c r="Q784" s="192">
        <f>IF(AND(Daten!$AA784&lt;=KINVARO!$AW$4,Daten!$AB784&gt;=KINVARO!$AW$4)=TRUE,1,0)</f>
        <v>0</v>
      </c>
      <c r="R784" s="192"/>
      <c r="S784" s="192">
        <f>IF(AND(Daten!$AD784&lt;=Limits!$I$70,Daten!$AE784&gt;=Limits!$I$70)=TRUE,1,0)</f>
        <v>1</v>
      </c>
      <c r="T784" s="193">
        <f ca="1">IF(Daten!$Y784=Sprache!$A$135,1,0)</f>
        <v>0</v>
      </c>
      <c r="U784" s="124" t="str">
        <f ca="1">Sprache!$A$69</f>
        <v>S-35 Откидной подъемник</v>
      </c>
      <c r="V784" s="194" t="str">
        <f ca="1">Sprache!$A$74</f>
        <v>var</v>
      </c>
      <c r="W784" s="193" t="str">
        <f ca="1">Sprache!$A$74</f>
        <v>var</v>
      </c>
      <c r="X784" s="187" t="str">
        <f ca="1">Sprache!$A$70</f>
        <v>соединение с древесиной</v>
      </c>
      <c r="Y784" s="187" t="str">
        <f ca="1">Sprache!$A$136</f>
        <v>nein</v>
      </c>
      <c r="Z784" s="187" t="str">
        <f ca="1">Sprache!$A$79</f>
        <v>Створка</v>
      </c>
      <c r="AA784" s="187">
        <v>630</v>
      </c>
      <c r="AB784" s="124">
        <v>659</v>
      </c>
      <c r="AC784" s="187"/>
      <c r="AD784" s="195">
        <v>8.5</v>
      </c>
      <c r="AE784" s="196">
        <v>16</v>
      </c>
      <c r="AF784" s="263" t="str">
        <f>MID(Tabelle2[[#This Row],[bnr full]],1,4)</f>
        <v>F152</v>
      </c>
      <c r="AG784" s="264" t="str">
        <f>MID(Tabelle2[[#This Row],[bnr full]],5,3)</f>
        <v>000</v>
      </c>
      <c r="AH784" s="265" t="str">
        <f>MID(Tabelle2[[#This Row],[bnr full]],8,3)</f>
        <v>258</v>
      </c>
      <c r="AI784" s="283" t="str">
        <f>MID(Tabelle2[[#This Row],[bnr full]],11,3)</f>
        <v>201</v>
      </c>
      <c r="AJ784" s="247" t="str">
        <f>MID(Tabelle2[[#This Row],[bnr full]],11,3)</f>
        <v>201</v>
      </c>
      <c r="AK784" s="284" t="s">
        <v>812</v>
      </c>
      <c r="AL784" s="187" t="str">
        <f ca="1">Sprache!$A$111</f>
        <v>Комплект (Л + П)</v>
      </c>
      <c r="AM784" s="187" t="s">
        <v>25</v>
      </c>
      <c r="AN784" s="187" t="str">
        <f ca="1">Sprache!$A$123</f>
        <v>Силовой механизм D</v>
      </c>
      <c r="AO784" s="187" t="s">
        <v>25</v>
      </c>
      <c r="AP784" s="187" t="s">
        <v>25</v>
      </c>
      <c r="AQ784" s="187">
        <v>450</v>
      </c>
      <c r="AR784" s="124">
        <v>1200</v>
      </c>
      <c r="AS784" s="187"/>
      <c r="AT784" s="124"/>
      <c r="AV784"/>
      <c r="AX784" s="10"/>
      <c r="AY784" s="11"/>
      <c r="AZ784" s="2"/>
      <c r="BC784"/>
    </row>
    <row r="785" spans="1:55" hidden="1" x14ac:dyDescent="0.25">
      <c r="A785" s="12" t="str">
        <f ca="1">IF(F785+G785+H785+I785+J785+D785+E785=3,IF(Tabelle2[[#This Row],[Kappe Weiß]]=Limits!$R$29,1,""),"")</f>
        <v/>
      </c>
      <c r="B785" s="282" t="str">
        <f ca="1">IF(G785+H785+I785+J785+E785+F785=2,IF(Tabelle2[[#This Row],[Kappe Weiß]]=Limits!$R$29,1,""),"")</f>
        <v/>
      </c>
      <c r="C785" s="291">
        <v>1</v>
      </c>
      <c r="D785" s="171">
        <f>IF(Limits!$P$5=TRUE,1,0)</f>
        <v>0</v>
      </c>
      <c r="E785" s="172">
        <f>IF(Daten!$P785+Daten!$Q785+Daten!$S785=3,1,0)</f>
        <v>0</v>
      </c>
      <c r="F785" s="173">
        <f ca="1">IF(AND(Limits!$Q$21=TRUE,Daten!O785=1)=TRUE,1,0)</f>
        <v>0</v>
      </c>
      <c r="G785" s="174">
        <f>IF(AND(Limits!$Q$25=TRUE,Daten!N785=1)=TRUE,1,0)</f>
        <v>0</v>
      </c>
      <c r="H785" s="174">
        <f>IF(AND(Limits!$Q$24=TRUE,Daten!M785=1)=TRUE,1,0)</f>
        <v>0</v>
      </c>
      <c r="I785" s="174">
        <f>IF(AND(Limits!$Q$23=TRUE,Daten!L785=1)=TRUE,1,0)</f>
        <v>0</v>
      </c>
      <c r="J785" s="174">
        <f>IF(AND(Limits!$Q$22=TRUE,Daten!K785=1)=TRUE,1,0)</f>
        <v>0</v>
      </c>
      <c r="K785" s="188">
        <f>IF(Daten!$V785=13,1,0)</f>
        <v>1</v>
      </c>
      <c r="L785" s="189">
        <f>IF(Daten!$V785&lt;&gt;Daten!$W785,1,IF(Daten!$V785=14,1,0))</f>
        <v>1</v>
      </c>
      <c r="M785" s="189">
        <f>IF(Daten!$V785&lt;&gt;Daten!$W785,1,IF(Daten!$V785=16,1,0))</f>
        <v>1</v>
      </c>
      <c r="N785" s="189">
        <f>IF(Daten!$W785=17,1,0)</f>
        <v>1</v>
      </c>
      <c r="O785" s="190">
        <f ca="1">IF(Daten!$X785=Sprache!$A$70,1,0)</f>
        <v>0</v>
      </c>
      <c r="P785" s="191">
        <f>IF(AND(Daten!$AQ785&lt;=KINVARO!$AW$3,Daten!$AR785&gt;=KINVARO!$AW$3)=TRUE,1,0)</f>
        <v>1</v>
      </c>
      <c r="Q785" s="192">
        <f>IF(AND(Daten!$AA785&lt;=KINVARO!$AW$4,Daten!$AB785&gt;=KINVARO!$AW$4)=TRUE,1,0)</f>
        <v>0</v>
      </c>
      <c r="R785" s="192"/>
      <c r="S785" s="192">
        <f>IF(AND(Daten!$AD785&lt;=Limits!$I$70,Daten!$AE785&gt;=Limits!$I$70)=TRUE,1,0)</f>
        <v>0</v>
      </c>
      <c r="T785" s="193">
        <f ca="1">IF(Daten!$Y785=Sprache!$A$135,1,0)</f>
        <v>0</v>
      </c>
      <c r="U785" s="124" t="str">
        <f ca="1">Sprache!$A$69</f>
        <v>S-35 Откидной подъемник</v>
      </c>
      <c r="V785" s="194">
        <v>13</v>
      </c>
      <c r="W785" s="193">
        <v>17</v>
      </c>
      <c r="X785" s="187" t="str">
        <f ca="1">Sprache!$A$142</f>
        <v>Alu (Rahmen 19mm)</v>
      </c>
      <c r="Y785" s="187" t="str">
        <f ca="1">Sprache!$A$136</f>
        <v>nein</v>
      </c>
      <c r="Z785" s="187" t="str">
        <f ca="1">Sprache!$A$79</f>
        <v>Створка</v>
      </c>
      <c r="AA785" s="187">
        <v>630</v>
      </c>
      <c r="AB785" s="124">
        <v>659</v>
      </c>
      <c r="AC785" s="187"/>
      <c r="AD785" s="195">
        <v>2</v>
      </c>
      <c r="AE785" s="196">
        <v>5.5</v>
      </c>
      <c r="AF785" s="263" t="str">
        <f>MID(Tabelle2[[#This Row],[bnr full]],1,4)</f>
        <v>F152</v>
      </c>
      <c r="AG785" s="264" t="str">
        <f>MID(Tabelle2[[#This Row],[bnr full]],5,3)</f>
        <v>000</v>
      </c>
      <c r="AH785" s="265" t="str">
        <f>MID(Tabelle2[[#This Row],[bnr full]],8,3)</f>
        <v>255</v>
      </c>
      <c r="AI785" s="283" t="str">
        <f>MID(Tabelle2[[#This Row],[bnr full]],11,3)</f>
        <v>201</v>
      </c>
      <c r="AJ785" s="247" t="str">
        <f>MID(Tabelle2[[#This Row],[bnr full]],11,3)</f>
        <v>201</v>
      </c>
      <c r="AK785" s="284" t="s">
        <v>809</v>
      </c>
      <c r="AL785" s="187" t="str">
        <f ca="1">Sprache!$A$111</f>
        <v>Комплект (Л + П)</v>
      </c>
      <c r="AM785" s="187" t="s">
        <v>25</v>
      </c>
      <c r="AN785" s="187" t="str">
        <f ca="1">Sprache!$A$120</f>
        <v>Силовой механизм A</v>
      </c>
      <c r="AO785" s="187" t="str">
        <f ca="1">Sprache!$A$147</f>
        <v>Адаптер под алюминиевые рамки к комплекту Kinvaro S-35</v>
      </c>
      <c r="AP785" s="187" t="s">
        <v>814</v>
      </c>
      <c r="AQ785" s="187">
        <v>450</v>
      </c>
      <c r="AR785" s="124">
        <v>1200</v>
      </c>
      <c r="AS785" s="187"/>
      <c r="AT785" s="124"/>
      <c r="AV785"/>
      <c r="AX785" s="10"/>
      <c r="AY785" s="11"/>
      <c r="AZ785" s="2"/>
      <c r="BC785"/>
    </row>
    <row r="786" spans="1:55" hidden="1" x14ac:dyDescent="0.25">
      <c r="A786" s="12" t="str">
        <f ca="1">IF(F786+G786+H786+I786+J786+D786+E786=3,IF(Tabelle2[[#This Row],[Kappe Weiß]]=Limits!$R$29,1,""),"")</f>
        <v/>
      </c>
      <c r="B786" s="282" t="str">
        <f ca="1">IF(G786+H786+I786+J786+E786+F786=2,IF(Tabelle2[[#This Row],[Kappe Weiß]]=Limits!$R$29,1,""),"")</f>
        <v/>
      </c>
      <c r="C786" s="291">
        <v>1</v>
      </c>
      <c r="D786" s="171">
        <f>IF(Limits!$P$5=TRUE,1,0)</f>
        <v>0</v>
      </c>
      <c r="E786" s="172">
        <f>IF(Daten!$P786+Daten!$Q786+Daten!$S786=3,1,0)</f>
        <v>0</v>
      </c>
      <c r="F786" s="173">
        <f ca="1">IF(AND(Limits!$Q$21=TRUE,Daten!O786=1)=TRUE,1,0)</f>
        <v>0</v>
      </c>
      <c r="G786" s="174">
        <f>IF(AND(Limits!$Q$25=TRUE,Daten!N786=1)=TRUE,1,0)</f>
        <v>0</v>
      </c>
      <c r="H786" s="174">
        <f>IF(AND(Limits!$Q$24=TRUE,Daten!M786=1)=TRUE,1,0)</f>
        <v>0</v>
      </c>
      <c r="I786" s="174">
        <f>IF(AND(Limits!$Q$23=TRUE,Daten!L786=1)=TRUE,1,0)</f>
        <v>0</v>
      </c>
      <c r="J786" s="174">
        <f>IF(AND(Limits!$Q$22=TRUE,Daten!K786=1)=TRUE,1,0)</f>
        <v>0</v>
      </c>
      <c r="K786" s="188">
        <f>IF(Daten!$V786=13,1,0)</f>
        <v>1</v>
      </c>
      <c r="L786" s="189">
        <f>IF(Daten!$V786&lt;&gt;Daten!$W786,1,IF(Daten!$V786=14,1,0))</f>
        <v>1</v>
      </c>
      <c r="M786" s="189">
        <f>IF(Daten!$V786&lt;&gt;Daten!$W786,1,IF(Daten!$V786=16,1,0))</f>
        <v>1</v>
      </c>
      <c r="N786" s="189">
        <f>IF(Daten!$W786=17,1,0)</f>
        <v>1</v>
      </c>
      <c r="O786" s="190">
        <f ca="1">IF(Daten!$X786=Sprache!$A$70,1,0)</f>
        <v>0</v>
      </c>
      <c r="P786" s="191">
        <f>IF(AND(Daten!$AQ786&lt;=KINVARO!$AW$3,Daten!$AR786&gt;=KINVARO!$AW$3)=TRUE,1,0)</f>
        <v>1</v>
      </c>
      <c r="Q786" s="192">
        <f>IF(AND(Daten!$AA786&lt;=KINVARO!$AW$4,Daten!$AB786&gt;=KINVARO!$AW$4)=TRUE,1,0)</f>
        <v>0</v>
      </c>
      <c r="R786" s="192"/>
      <c r="S786" s="192">
        <f>IF(AND(Daten!$AD786&lt;=Limits!$I$70,Daten!$AE786&gt;=Limits!$I$70)=TRUE,1,0)</f>
        <v>1</v>
      </c>
      <c r="T786" s="193">
        <f ca="1">IF(Daten!$Y786=Sprache!$A$135,1,0)</f>
        <v>0</v>
      </c>
      <c r="U786" s="124" t="str">
        <f ca="1">Sprache!$A$69</f>
        <v>S-35 Откидной подъемник</v>
      </c>
      <c r="V786" s="194">
        <v>13</v>
      </c>
      <c r="W786" s="193">
        <v>17</v>
      </c>
      <c r="X786" s="187" t="str">
        <f ca="1">Sprache!$A$142</f>
        <v>Alu (Rahmen 19mm)</v>
      </c>
      <c r="Y786" s="187" t="str">
        <f ca="1">Sprache!$A$136</f>
        <v>nein</v>
      </c>
      <c r="Z786" s="187" t="str">
        <f ca="1">Sprache!$A$79</f>
        <v>Створка</v>
      </c>
      <c r="AA786" s="187">
        <v>630</v>
      </c>
      <c r="AB786" s="124">
        <v>659</v>
      </c>
      <c r="AC786" s="187"/>
      <c r="AD786" s="195">
        <v>4.5</v>
      </c>
      <c r="AE786" s="196">
        <v>11</v>
      </c>
      <c r="AF786" s="263" t="str">
        <f>MID(Tabelle2[[#This Row],[bnr full]],1,4)</f>
        <v>F152</v>
      </c>
      <c r="AG786" s="264" t="str">
        <f>MID(Tabelle2[[#This Row],[bnr full]],5,3)</f>
        <v>000</v>
      </c>
      <c r="AH786" s="265" t="str">
        <f>MID(Tabelle2[[#This Row],[bnr full]],8,3)</f>
        <v>257</v>
      </c>
      <c r="AI786" s="283" t="str">
        <f>MID(Tabelle2[[#This Row],[bnr full]],11,3)</f>
        <v>201</v>
      </c>
      <c r="AJ786" s="247" t="str">
        <f>MID(Tabelle2[[#This Row],[bnr full]],11,3)</f>
        <v>201</v>
      </c>
      <c r="AK786" s="284" t="s">
        <v>811</v>
      </c>
      <c r="AL786" s="187" t="str">
        <f ca="1">Sprache!$A$111</f>
        <v>Комплект (Л + П)</v>
      </c>
      <c r="AM786" s="187" t="s">
        <v>25</v>
      </c>
      <c r="AN786" s="187" t="str">
        <f ca="1">Sprache!$A$122</f>
        <v>Силовой механизм C</v>
      </c>
      <c r="AO786" s="187" t="str">
        <f ca="1">Sprache!$A$147</f>
        <v>Адаптер под алюминиевые рамки к комплекту Kinvaro S-35</v>
      </c>
      <c r="AP786" s="187" t="s">
        <v>814</v>
      </c>
      <c r="AQ786" s="187">
        <v>450</v>
      </c>
      <c r="AR786" s="124">
        <v>1200</v>
      </c>
      <c r="AS786" s="187"/>
      <c r="AT786" s="124"/>
      <c r="AV786"/>
      <c r="AX786" s="10"/>
      <c r="AY786" s="11"/>
      <c r="AZ786" s="2"/>
      <c r="BC786"/>
    </row>
    <row r="787" spans="1:55" hidden="1" x14ac:dyDescent="0.25">
      <c r="A787" s="12" t="str">
        <f ca="1">IF(F787+G787+H787+I787+J787+D787+E787=3,IF(Tabelle2[[#This Row],[Kappe Weiß]]=Limits!$R$29,1,""),"")</f>
        <v/>
      </c>
      <c r="B787" s="282" t="str">
        <f ca="1">IF(G787+H787+I787+J787+E787+F787=2,IF(Tabelle2[[#This Row],[Kappe Weiß]]=Limits!$R$29,1,""),"")</f>
        <v/>
      </c>
      <c r="C787" s="291">
        <v>1</v>
      </c>
      <c r="D787" s="171">
        <f>IF(Limits!$P$5=TRUE,1,0)</f>
        <v>0</v>
      </c>
      <c r="E787" s="172">
        <f>IF(Daten!$P787+Daten!$Q787+Daten!$S787=3,1,0)</f>
        <v>0</v>
      </c>
      <c r="F787" s="173">
        <f ca="1">IF(AND(Limits!$Q$21=TRUE,Daten!O787=1)=TRUE,1,0)</f>
        <v>0</v>
      </c>
      <c r="G787" s="174">
        <f>IF(AND(Limits!$Q$25=TRUE,Daten!N787=1)=TRUE,1,0)</f>
        <v>0</v>
      </c>
      <c r="H787" s="174">
        <f>IF(AND(Limits!$Q$24=TRUE,Daten!M787=1)=TRUE,1,0)</f>
        <v>0</v>
      </c>
      <c r="I787" s="174">
        <f>IF(AND(Limits!$Q$23=TRUE,Daten!L787=1)=TRUE,1,0)</f>
        <v>0</v>
      </c>
      <c r="J787" s="174">
        <f>IF(AND(Limits!$Q$22=TRUE,Daten!K787=1)=TRUE,1,0)</f>
        <v>0</v>
      </c>
      <c r="K787" s="188">
        <f>IF(Daten!$V787=13,1,0)</f>
        <v>1</v>
      </c>
      <c r="L787" s="189">
        <f>IF(Daten!$V787&lt;&gt;Daten!$W787,1,IF(Daten!$V787=14,1,0))</f>
        <v>1</v>
      </c>
      <c r="M787" s="189">
        <f>IF(Daten!$V787&lt;&gt;Daten!$W787,1,IF(Daten!$V787=16,1,0))</f>
        <v>1</v>
      </c>
      <c r="N787" s="189">
        <f>IF(Daten!$W787=17,1,0)</f>
        <v>1</v>
      </c>
      <c r="O787" s="190">
        <f ca="1">IF(Daten!$X787=Sprache!$A$70,1,0)</f>
        <v>0</v>
      </c>
      <c r="P787" s="191">
        <f>IF(AND(Daten!$AQ787&lt;=KINVARO!$AW$3,Daten!$AR787&gt;=KINVARO!$AW$3)=TRUE,1,0)</f>
        <v>1</v>
      </c>
      <c r="Q787" s="192">
        <f>IF(AND(Daten!$AA787&lt;=KINVARO!$AW$4,Daten!$AB787&gt;=KINVARO!$AW$4)=TRUE,1,0)</f>
        <v>0</v>
      </c>
      <c r="R787" s="192"/>
      <c r="S787" s="192">
        <f>IF(AND(Daten!$AD787&lt;=Limits!$I$70,Daten!$AE787&gt;=Limits!$I$70)=TRUE,1,0)</f>
        <v>1</v>
      </c>
      <c r="T787" s="193">
        <f ca="1">IF(Daten!$Y787=Sprache!$A$135,1,0)</f>
        <v>0</v>
      </c>
      <c r="U787" s="124" t="str">
        <f ca="1">Sprache!$A$69</f>
        <v>S-35 Откидной подъемник</v>
      </c>
      <c r="V787" s="194">
        <v>13</v>
      </c>
      <c r="W787" s="193">
        <v>17</v>
      </c>
      <c r="X787" s="187" t="str">
        <f ca="1">Sprache!$A$142</f>
        <v>Alu (Rahmen 19mm)</v>
      </c>
      <c r="Y787" s="187" t="str">
        <f ca="1">Sprache!$A$136</f>
        <v>nein</v>
      </c>
      <c r="Z787" s="187" t="str">
        <f ca="1">Sprache!$A$79</f>
        <v>Створка</v>
      </c>
      <c r="AA787" s="187">
        <v>630</v>
      </c>
      <c r="AB787" s="124">
        <v>659</v>
      </c>
      <c r="AC787" s="187"/>
      <c r="AD787" s="195">
        <v>8.5</v>
      </c>
      <c r="AE787" s="196">
        <v>16</v>
      </c>
      <c r="AF787" s="263" t="str">
        <f>MID(Tabelle2[[#This Row],[bnr full]],1,4)</f>
        <v>F152</v>
      </c>
      <c r="AG787" s="264" t="str">
        <f>MID(Tabelle2[[#This Row],[bnr full]],5,3)</f>
        <v>000</v>
      </c>
      <c r="AH787" s="265" t="str">
        <f>MID(Tabelle2[[#This Row],[bnr full]],8,3)</f>
        <v>258</v>
      </c>
      <c r="AI787" s="283" t="str">
        <f>MID(Tabelle2[[#This Row],[bnr full]],11,3)</f>
        <v>201</v>
      </c>
      <c r="AJ787" s="247" t="str">
        <f>MID(Tabelle2[[#This Row],[bnr full]],11,3)</f>
        <v>201</v>
      </c>
      <c r="AK787" s="284" t="s">
        <v>812</v>
      </c>
      <c r="AL787" s="187" t="str">
        <f ca="1">Sprache!$A$111</f>
        <v>Комплект (Л + П)</v>
      </c>
      <c r="AM787" s="187" t="s">
        <v>25</v>
      </c>
      <c r="AN787" s="187" t="str">
        <f ca="1">Sprache!$A$123</f>
        <v>Силовой механизм D</v>
      </c>
      <c r="AO787" s="187" t="str">
        <f ca="1">Sprache!$A$147</f>
        <v>Адаптер под алюминиевые рамки к комплекту Kinvaro S-35</v>
      </c>
      <c r="AP787" s="187" t="s">
        <v>814</v>
      </c>
      <c r="AQ787" s="187">
        <v>450</v>
      </c>
      <c r="AR787" s="124">
        <v>1200</v>
      </c>
      <c r="AS787" s="187"/>
      <c r="AT787" s="124"/>
      <c r="AV787"/>
      <c r="AX787" s="10"/>
      <c r="AY787" s="11"/>
      <c r="AZ787" s="2"/>
      <c r="BC787"/>
    </row>
    <row r="788" spans="1:55" hidden="1" x14ac:dyDescent="0.25">
      <c r="A788" s="12" t="str">
        <f ca="1">IF(F788+G788+H788+I788+J788+D788+E788=3,IF(Tabelle2[[#This Row],[Kappe Weiß]]=Limits!$R$29,1,""),"")</f>
        <v/>
      </c>
      <c r="B788" s="282" t="str">
        <f ca="1">IF(G788+H788+I788+J788+E788+F788=2,IF(Tabelle2[[#This Row],[Kappe Weiß]]=Limits!$R$29,1,""),"")</f>
        <v/>
      </c>
      <c r="C788" s="292">
        <v>1</v>
      </c>
      <c r="D788" s="171">
        <f>IF(Limits!$P$5=TRUE,1,0)</f>
        <v>0</v>
      </c>
      <c r="E788" s="172">
        <f>IF(Daten!$P788+Daten!$Q788+Daten!$S788=3,1,0)</f>
        <v>0</v>
      </c>
      <c r="F788" s="173">
        <f ca="1">IF(AND(Limits!$Q$21=TRUE,Daten!O788=1)=TRUE,1,0)</f>
        <v>1</v>
      </c>
      <c r="G788" s="174">
        <f ca="1">IF(AND(Limits!$Q$25=TRUE,Daten!N788=1)=TRUE,1,0)</f>
        <v>0</v>
      </c>
      <c r="H788" s="174">
        <f ca="1">IF(AND(Limits!$Q$24=TRUE,Daten!M788=1)=TRUE,1,0)</f>
        <v>0</v>
      </c>
      <c r="I788" s="174">
        <f ca="1">IF(AND(Limits!$Q$23=TRUE,Daten!L788=1)=TRUE,1,0)</f>
        <v>0</v>
      </c>
      <c r="J788" s="174">
        <f ca="1">IF(AND(Limits!$Q$22=TRUE,Daten!K788=1)=TRUE,1,0)</f>
        <v>0</v>
      </c>
      <c r="K788" s="188">
        <f ca="1">IF(Daten!$V788=13,1,0)</f>
        <v>0</v>
      </c>
      <c r="L788" s="189">
        <f ca="1">IF(Daten!$V788&lt;&gt;Daten!$W788,1,IF(Daten!$V788=14,1,0))</f>
        <v>0</v>
      </c>
      <c r="M788" s="189">
        <f ca="1">IF(Daten!$V788&lt;&gt;Daten!$W788,1,IF(Daten!$V788=16,1,0))</f>
        <v>0</v>
      </c>
      <c r="N788" s="189">
        <f ca="1">IF(Daten!$W788=17,1,0)</f>
        <v>0</v>
      </c>
      <c r="O788" s="190">
        <f ca="1">IF(Daten!$X788=Sprache!$A$70,1,0)</f>
        <v>1</v>
      </c>
      <c r="P788" s="198">
        <f>IF(AND(Daten!$AQ788&lt;=KINVARO!$AW$3,Daten!$AR788&gt;=KINVARO!$AW$3)=TRUE,1,0)</f>
        <v>1</v>
      </c>
      <c r="Q788" s="199">
        <f>IF(AND(Daten!$AA788&lt;=KINVARO!$AW$4,Daten!$AB788&gt;=KINVARO!$AW$4)=TRUE,1,0)</f>
        <v>0</v>
      </c>
      <c r="R788" s="199"/>
      <c r="S788" s="199">
        <f>IF(AND(Daten!$AD788&lt;=Limits!$I$70,Daten!$AE788&gt;=Limits!$I$70)=TRUE,1,0)</f>
        <v>0</v>
      </c>
      <c r="T788" s="200">
        <f ca="1">IF(Daten!$Y788=Sprache!$A$135,1,0)</f>
        <v>0</v>
      </c>
      <c r="U788" s="201" t="str">
        <f ca="1">Sprache!$A$69</f>
        <v>S-35 Откидной подъемник</v>
      </c>
      <c r="V788" s="194" t="str">
        <f ca="1">Sprache!$A$74</f>
        <v>var</v>
      </c>
      <c r="W788" s="200" t="str">
        <f ca="1">Sprache!$A$74</f>
        <v>var</v>
      </c>
      <c r="X788" s="187" t="str">
        <f ca="1">Sprache!$A$70</f>
        <v>соединение с древесиной</v>
      </c>
      <c r="Y788" s="187" t="str">
        <f ca="1">Sprache!$A$136</f>
        <v>nein</v>
      </c>
      <c r="Z788" s="187" t="str">
        <f ca="1">Sprache!$A$79</f>
        <v>Створка</v>
      </c>
      <c r="AA788" s="187">
        <v>660</v>
      </c>
      <c r="AB788" s="201">
        <v>689</v>
      </c>
      <c r="AC788" s="187"/>
      <c r="AD788" s="195">
        <v>2</v>
      </c>
      <c r="AE788" s="205">
        <v>5</v>
      </c>
      <c r="AF788" s="263" t="str">
        <f>MID(Tabelle2[[#This Row],[bnr full]],1,4)</f>
        <v>F152</v>
      </c>
      <c r="AG788" s="267" t="str">
        <f>MID(Tabelle2[[#This Row],[bnr full]],5,3)</f>
        <v>000</v>
      </c>
      <c r="AH788" s="268" t="str">
        <f>MID(Tabelle2[[#This Row],[bnr full]],8,3)</f>
        <v>255</v>
      </c>
      <c r="AI788" s="286" t="str">
        <f>MID(Tabelle2[[#This Row],[bnr full]],11,3)</f>
        <v>201</v>
      </c>
      <c r="AJ788" s="248" t="str">
        <f>MID(Tabelle2[[#This Row],[bnr full]],11,3)</f>
        <v>201</v>
      </c>
      <c r="AK788" s="284" t="s">
        <v>809</v>
      </c>
      <c r="AL788" s="187" t="str">
        <f ca="1">Sprache!$A$111</f>
        <v>Комплект (Л + П)</v>
      </c>
      <c r="AM788" s="187" t="s">
        <v>25</v>
      </c>
      <c r="AN788" s="187" t="str">
        <f ca="1">Sprache!$A$120</f>
        <v>Силовой механизм A</v>
      </c>
      <c r="AO788" s="187" t="s">
        <v>25</v>
      </c>
      <c r="AP788" s="187" t="s">
        <v>25</v>
      </c>
      <c r="AQ788" s="187">
        <v>450</v>
      </c>
      <c r="AR788" s="201">
        <v>1200</v>
      </c>
      <c r="AS788" s="187"/>
      <c r="AT788" s="124"/>
      <c r="AV788"/>
      <c r="AX788" s="10"/>
      <c r="AY788" s="11"/>
      <c r="AZ788" s="2"/>
      <c r="BC788"/>
    </row>
    <row r="789" spans="1:55" hidden="1" x14ac:dyDescent="0.25">
      <c r="A789" s="12" t="str">
        <f ca="1">IF(F789+G789+H789+I789+J789+D789+E789=3,IF(Tabelle2[[#This Row],[Kappe Weiß]]=Limits!$R$29,1,""),"")</f>
        <v/>
      </c>
      <c r="B789" s="282" t="str">
        <f ca="1">IF(G789+H789+I789+J789+E789+F789=2,IF(Tabelle2[[#This Row],[Kappe Weiß]]=Limits!$R$29,1,""),"")</f>
        <v/>
      </c>
      <c r="C789" s="291">
        <v>1</v>
      </c>
      <c r="D789" s="171">
        <f>IF(Limits!$P$5=TRUE,1,0)</f>
        <v>0</v>
      </c>
      <c r="E789" s="172">
        <f>IF(Daten!$P789+Daten!$Q789+Daten!$S789=3,1,0)</f>
        <v>0</v>
      </c>
      <c r="F789" s="173">
        <f ca="1">IF(AND(Limits!$Q$21=TRUE,Daten!O789=1)=TRUE,1,0)</f>
        <v>1</v>
      </c>
      <c r="G789" s="174">
        <f ca="1">IF(AND(Limits!$Q$25=TRUE,Daten!N789=1)=TRUE,1,0)</f>
        <v>0</v>
      </c>
      <c r="H789" s="174">
        <f ca="1">IF(AND(Limits!$Q$24=TRUE,Daten!M789=1)=TRUE,1,0)</f>
        <v>0</v>
      </c>
      <c r="I789" s="174">
        <f ca="1">IF(AND(Limits!$Q$23=TRUE,Daten!L789=1)=TRUE,1,0)</f>
        <v>0</v>
      </c>
      <c r="J789" s="174">
        <f ca="1">IF(AND(Limits!$Q$22=TRUE,Daten!K789=1)=TRUE,1,0)</f>
        <v>0</v>
      </c>
      <c r="K789" s="188">
        <f ca="1">IF(Daten!$V789=13,1,0)</f>
        <v>0</v>
      </c>
      <c r="L789" s="189">
        <f ca="1">IF(Daten!$V789&lt;&gt;Daten!$W789,1,IF(Daten!$V789=14,1,0))</f>
        <v>0</v>
      </c>
      <c r="M789" s="189">
        <f ca="1">IF(Daten!$V789&lt;&gt;Daten!$W789,1,IF(Daten!$V789=16,1,0))</f>
        <v>0</v>
      </c>
      <c r="N789" s="189">
        <f ca="1">IF(Daten!$W789=17,1,0)</f>
        <v>0</v>
      </c>
      <c r="O789" s="190">
        <f ca="1">IF(Daten!$X789=Sprache!$A$70,1,0)</f>
        <v>1</v>
      </c>
      <c r="P789" s="191">
        <f>IF(AND(Daten!$AQ789&lt;=KINVARO!$AW$3,Daten!$AR789&gt;=KINVARO!$AW$3)=TRUE,1,0)</f>
        <v>1</v>
      </c>
      <c r="Q789" s="192">
        <f>IF(AND(Daten!$AA789&lt;=KINVARO!$AW$4,Daten!$AB789&gt;=KINVARO!$AW$4)=TRUE,1,0)</f>
        <v>0</v>
      </c>
      <c r="R789" s="192"/>
      <c r="S789" s="192">
        <f>IF(AND(Daten!$AD789&lt;=Limits!$I$70,Daten!$AE789&gt;=Limits!$I$70)=TRUE,1,0)</f>
        <v>1</v>
      </c>
      <c r="T789" s="193">
        <f ca="1">IF(Daten!$Y789=Sprache!$A$135,1,0)</f>
        <v>0</v>
      </c>
      <c r="U789" s="124" t="str">
        <f ca="1">Sprache!$A$69</f>
        <v>S-35 Откидной подъемник</v>
      </c>
      <c r="V789" s="194" t="str">
        <f ca="1">Sprache!$A$74</f>
        <v>var</v>
      </c>
      <c r="W789" s="193" t="str">
        <f ca="1">Sprache!$A$74</f>
        <v>var</v>
      </c>
      <c r="X789" s="187" t="str">
        <f ca="1">Sprache!$A$70</f>
        <v>соединение с древесиной</v>
      </c>
      <c r="Y789" s="187" t="str">
        <f ca="1">Sprache!$A$136</f>
        <v>nein</v>
      </c>
      <c r="Z789" s="187" t="str">
        <f ca="1">Sprache!$A$79</f>
        <v>Створка</v>
      </c>
      <c r="AA789" s="187">
        <v>660</v>
      </c>
      <c r="AB789" s="124">
        <v>689</v>
      </c>
      <c r="AC789" s="187"/>
      <c r="AD789" s="195">
        <v>4</v>
      </c>
      <c r="AE789" s="196">
        <v>10</v>
      </c>
      <c r="AF789" s="263" t="str">
        <f>MID(Tabelle2[[#This Row],[bnr full]],1,4)</f>
        <v>F152</v>
      </c>
      <c r="AG789" s="264" t="str">
        <f>MID(Tabelle2[[#This Row],[bnr full]],5,3)</f>
        <v>000</v>
      </c>
      <c r="AH789" s="265" t="str">
        <f>MID(Tabelle2[[#This Row],[bnr full]],8,3)</f>
        <v>257</v>
      </c>
      <c r="AI789" s="283" t="str">
        <f>MID(Tabelle2[[#This Row],[bnr full]],11,3)</f>
        <v>201</v>
      </c>
      <c r="AJ789" s="247" t="str">
        <f>MID(Tabelle2[[#This Row],[bnr full]],11,3)</f>
        <v>201</v>
      </c>
      <c r="AK789" s="284" t="s">
        <v>811</v>
      </c>
      <c r="AL789" s="187" t="str">
        <f ca="1">Sprache!$A$111</f>
        <v>Комплект (Л + П)</v>
      </c>
      <c r="AM789" s="187" t="s">
        <v>25</v>
      </c>
      <c r="AN789" s="187" t="str">
        <f ca="1">Sprache!$A$122</f>
        <v>Силовой механизм C</v>
      </c>
      <c r="AO789" s="187" t="s">
        <v>25</v>
      </c>
      <c r="AP789" s="187" t="s">
        <v>25</v>
      </c>
      <c r="AQ789" s="187">
        <v>450</v>
      </c>
      <c r="AR789" s="124">
        <v>1200</v>
      </c>
      <c r="AS789" s="187"/>
      <c r="AT789" s="124"/>
      <c r="AV789"/>
      <c r="AX789" s="10"/>
      <c r="AY789" s="11"/>
      <c r="AZ789" s="2"/>
      <c r="BC789"/>
    </row>
    <row r="790" spans="1:55" hidden="1" x14ac:dyDescent="0.25">
      <c r="A790" s="12" t="str">
        <f ca="1">IF(F790+G790+H790+I790+J790+D790+E790=3,IF(Tabelle2[[#This Row],[Kappe Weiß]]=Limits!$R$29,1,""),"")</f>
        <v/>
      </c>
      <c r="B790" s="282" t="str">
        <f ca="1">IF(G790+H790+I790+J790+E790+F790=2,IF(Tabelle2[[#This Row],[Kappe Weiß]]=Limits!$R$29,1,""),"")</f>
        <v/>
      </c>
      <c r="C790" s="291">
        <v>1</v>
      </c>
      <c r="D790" s="171">
        <f>IF(Limits!$P$5=TRUE,1,0)</f>
        <v>0</v>
      </c>
      <c r="E790" s="172">
        <f>IF(Daten!$P790+Daten!$Q790+Daten!$S790=3,1,0)</f>
        <v>0</v>
      </c>
      <c r="F790" s="173">
        <f ca="1">IF(AND(Limits!$Q$21=TRUE,Daten!O790=1)=TRUE,1,0)</f>
        <v>1</v>
      </c>
      <c r="G790" s="174">
        <f ca="1">IF(AND(Limits!$Q$25=TRUE,Daten!N790=1)=TRUE,1,0)</f>
        <v>0</v>
      </c>
      <c r="H790" s="174">
        <f ca="1">IF(AND(Limits!$Q$24=TRUE,Daten!M790=1)=TRUE,1,0)</f>
        <v>0</v>
      </c>
      <c r="I790" s="174">
        <f ca="1">IF(AND(Limits!$Q$23=TRUE,Daten!L790=1)=TRUE,1,0)</f>
        <v>0</v>
      </c>
      <c r="J790" s="174">
        <f ca="1">IF(AND(Limits!$Q$22=TRUE,Daten!K790=1)=TRUE,1,0)</f>
        <v>0</v>
      </c>
      <c r="K790" s="188">
        <f ca="1">IF(Daten!$V790=13,1,0)</f>
        <v>0</v>
      </c>
      <c r="L790" s="189">
        <f ca="1">IF(Daten!$V790&lt;&gt;Daten!$W790,1,IF(Daten!$V790=14,1,0))</f>
        <v>0</v>
      </c>
      <c r="M790" s="189">
        <f ca="1">IF(Daten!$V790&lt;&gt;Daten!$W790,1,IF(Daten!$V790=16,1,0))</f>
        <v>0</v>
      </c>
      <c r="N790" s="189">
        <f ca="1">IF(Daten!$W790=17,1,0)</f>
        <v>0</v>
      </c>
      <c r="O790" s="190">
        <f ca="1">IF(Daten!$X790=Sprache!$A$70,1,0)</f>
        <v>1</v>
      </c>
      <c r="P790" s="191">
        <f>IF(AND(Daten!$AQ790&lt;=KINVARO!$AW$3,Daten!$AR790&gt;=KINVARO!$AW$3)=TRUE,1,0)</f>
        <v>1</v>
      </c>
      <c r="Q790" s="192">
        <f>IF(AND(Daten!$AA790&lt;=KINVARO!$AW$4,Daten!$AB790&gt;=KINVARO!$AW$4)=TRUE,1,0)</f>
        <v>0</v>
      </c>
      <c r="R790" s="192"/>
      <c r="S790" s="192">
        <f>IF(AND(Daten!$AD790&lt;=Limits!$I$70,Daten!$AE790&gt;=Limits!$I$70)=TRUE,1,0)</f>
        <v>1</v>
      </c>
      <c r="T790" s="193">
        <f ca="1">IF(Daten!$Y790=Sprache!$A$135,1,0)</f>
        <v>0</v>
      </c>
      <c r="U790" s="124" t="str">
        <f ca="1">Sprache!$A$69</f>
        <v>S-35 Откидной подъемник</v>
      </c>
      <c r="V790" s="194" t="str">
        <f ca="1">Sprache!$A$74</f>
        <v>var</v>
      </c>
      <c r="W790" s="193" t="str">
        <f ca="1">Sprache!$A$74</f>
        <v>var</v>
      </c>
      <c r="X790" s="187" t="str">
        <f ca="1">Sprache!$A$70</f>
        <v>соединение с древесиной</v>
      </c>
      <c r="Y790" s="187" t="str">
        <f ca="1">Sprache!$A$136</f>
        <v>nein</v>
      </c>
      <c r="Z790" s="187" t="str">
        <f ca="1">Sprache!$A$79</f>
        <v>Створка</v>
      </c>
      <c r="AA790" s="187">
        <v>660</v>
      </c>
      <c r="AB790" s="124">
        <v>689</v>
      </c>
      <c r="AC790" s="187"/>
      <c r="AD790" s="195">
        <v>7.5</v>
      </c>
      <c r="AE790" s="196">
        <v>15</v>
      </c>
      <c r="AF790" s="263" t="str">
        <f>MID(Tabelle2[[#This Row],[bnr full]],1,4)</f>
        <v>F152</v>
      </c>
      <c r="AG790" s="264" t="str">
        <f>MID(Tabelle2[[#This Row],[bnr full]],5,3)</f>
        <v>000</v>
      </c>
      <c r="AH790" s="265" t="str">
        <f>MID(Tabelle2[[#This Row],[bnr full]],8,3)</f>
        <v>258</v>
      </c>
      <c r="AI790" s="283" t="str">
        <f>MID(Tabelle2[[#This Row],[bnr full]],11,3)</f>
        <v>201</v>
      </c>
      <c r="AJ790" s="247" t="str">
        <f>MID(Tabelle2[[#This Row],[bnr full]],11,3)</f>
        <v>201</v>
      </c>
      <c r="AK790" s="284" t="s">
        <v>812</v>
      </c>
      <c r="AL790" s="187" t="str">
        <f ca="1">Sprache!$A$111</f>
        <v>Комплект (Л + П)</v>
      </c>
      <c r="AM790" s="187" t="s">
        <v>25</v>
      </c>
      <c r="AN790" s="187" t="str">
        <f ca="1">Sprache!$A$123</f>
        <v>Силовой механизм D</v>
      </c>
      <c r="AO790" s="187" t="s">
        <v>25</v>
      </c>
      <c r="AP790" s="187" t="s">
        <v>25</v>
      </c>
      <c r="AQ790" s="187">
        <v>450</v>
      </c>
      <c r="AR790" s="124">
        <v>1200</v>
      </c>
      <c r="AS790" s="187"/>
      <c r="AT790" s="124"/>
      <c r="AV790"/>
      <c r="AX790" s="10"/>
      <c r="AY790" s="11"/>
      <c r="AZ790" s="2"/>
      <c r="BC790"/>
    </row>
    <row r="791" spans="1:55" hidden="1" x14ac:dyDescent="0.25">
      <c r="A791" s="12" t="str">
        <f ca="1">IF(F791+G791+H791+I791+J791+D791+E791=3,IF(Tabelle2[[#This Row],[Kappe Weiß]]=Limits!$R$29,1,""),"")</f>
        <v/>
      </c>
      <c r="B791" s="282" t="str">
        <f ca="1">IF(G791+H791+I791+J791+E791+F791=2,IF(Tabelle2[[#This Row],[Kappe Weiß]]=Limits!$R$29,1,""),"")</f>
        <v/>
      </c>
      <c r="C791" s="291">
        <v>1</v>
      </c>
      <c r="D791" s="171">
        <f>IF(Limits!$P$5=TRUE,1,0)</f>
        <v>0</v>
      </c>
      <c r="E791" s="172">
        <f>IF(Daten!$P791+Daten!$Q791+Daten!$S791=3,1,0)</f>
        <v>0</v>
      </c>
      <c r="F791" s="173">
        <f ca="1">IF(AND(Limits!$Q$21=TRUE,Daten!O791=1)=TRUE,1,0)</f>
        <v>1</v>
      </c>
      <c r="G791" s="174">
        <f ca="1">IF(AND(Limits!$Q$25=TRUE,Daten!N791=1)=TRUE,1,0)</f>
        <v>0</v>
      </c>
      <c r="H791" s="174">
        <f ca="1">IF(AND(Limits!$Q$24=TRUE,Daten!M791=1)=TRUE,1,0)</f>
        <v>0</v>
      </c>
      <c r="I791" s="174">
        <f ca="1">IF(AND(Limits!$Q$23=TRUE,Daten!L791=1)=TRUE,1,0)</f>
        <v>0</v>
      </c>
      <c r="J791" s="174">
        <f ca="1">IF(AND(Limits!$Q$22=TRUE,Daten!K791=1)=TRUE,1,0)</f>
        <v>0</v>
      </c>
      <c r="K791" s="188">
        <f ca="1">IF(Daten!$V791=13,1,0)</f>
        <v>0</v>
      </c>
      <c r="L791" s="189">
        <f ca="1">IF(Daten!$V791&lt;&gt;Daten!$W791,1,IF(Daten!$V791=14,1,0))</f>
        <v>0</v>
      </c>
      <c r="M791" s="189">
        <f ca="1">IF(Daten!$V791&lt;&gt;Daten!$W791,1,IF(Daten!$V791=16,1,0))</f>
        <v>0</v>
      </c>
      <c r="N791" s="189">
        <f ca="1">IF(Daten!$W791=17,1,0)</f>
        <v>0</v>
      </c>
      <c r="O791" s="190">
        <f ca="1">IF(Daten!$X791=Sprache!$A$70,1,0)</f>
        <v>1</v>
      </c>
      <c r="P791" s="191">
        <f>IF(AND(Daten!$AQ791&lt;=KINVARO!$AW$3,Daten!$AR791&gt;=KINVARO!$AW$3)=TRUE,1,0)</f>
        <v>1</v>
      </c>
      <c r="Q791" s="192">
        <f>IF(AND(Daten!$AA791&lt;=KINVARO!$AW$4,Daten!$AB791&gt;=KINVARO!$AW$4)=TRUE,1,0)</f>
        <v>0</v>
      </c>
      <c r="R791" s="192"/>
      <c r="S791" s="192">
        <f>IF(AND(Daten!$AD791&lt;=Limits!$I$70,Daten!$AE791&gt;=Limits!$I$70)=TRUE,1,0)</f>
        <v>0</v>
      </c>
      <c r="T791" s="193">
        <f ca="1">IF(Daten!$Y791=Sprache!$A$135,1,0)</f>
        <v>0</v>
      </c>
      <c r="U791" s="124" t="str">
        <f ca="1">Sprache!$A$69</f>
        <v>S-35 Откидной подъемник</v>
      </c>
      <c r="V791" s="194" t="str">
        <f ca="1">Sprache!$A$74</f>
        <v>var</v>
      </c>
      <c r="W791" s="193" t="str">
        <f ca="1">Sprache!$A$74</f>
        <v>var</v>
      </c>
      <c r="X791" s="187" t="str">
        <f ca="1">Sprache!$A$70</f>
        <v>соединение с древесиной</v>
      </c>
      <c r="Y791" s="187" t="str">
        <f ca="1">Sprache!$A$136</f>
        <v>nein</v>
      </c>
      <c r="Z791" s="187" t="str">
        <f ca="1">Sprache!$A$79</f>
        <v>Створка</v>
      </c>
      <c r="AA791" s="187">
        <v>660</v>
      </c>
      <c r="AB791" s="124">
        <v>689</v>
      </c>
      <c r="AC791" s="187"/>
      <c r="AD791" s="195">
        <v>12</v>
      </c>
      <c r="AE791" s="196">
        <v>16.5</v>
      </c>
      <c r="AF791" s="263" t="str">
        <f>MID(Tabelle2[[#This Row],[bnr full]],1,4)</f>
        <v>F152</v>
      </c>
      <c r="AG791" s="264" t="str">
        <f>MID(Tabelle2[[#This Row],[bnr full]],5,3)</f>
        <v>000</v>
      </c>
      <c r="AH791" s="265" t="str">
        <f>MID(Tabelle2[[#This Row],[bnr full]],8,3)</f>
        <v>259</v>
      </c>
      <c r="AI791" s="283" t="str">
        <f>MID(Tabelle2[[#This Row],[bnr full]],11,3)</f>
        <v>201</v>
      </c>
      <c r="AJ791" s="247" t="str">
        <f>MID(Tabelle2[[#This Row],[bnr full]],11,3)</f>
        <v>201</v>
      </c>
      <c r="AK791" s="284" t="s">
        <v>813</v>
      </c>
      <c r="AL791" s="187" t="str">
        <f ca="1">Sprache!$A$111</f>
        <v>Комплект (Л + П)</v>
      </c>
      <c r="AM791" s="187" t="s">
        <v>25</v>
      </c>
      <c r="AN791" s="187" t="str">
        <f ca="1">Sprache!$A$124</f>
        <v>Силовой механизм E</v>
      </c>
      <c r="AO791" s="187" t="s">
        <v>25</v>
      </c>
      <c r="AP791" s="187" t="s">
        <v>25</v>
      </c>
      <c r="AQ791" s="187">
        <v>450</v>
      </c>
      <c r="AR791" s="124">
        <v>1200</v>
      </c>
      <c r="AS791" s="187"/>
      <c r="AT791" s="124"/>
      <c r="AV791"/>
      <c r="AX791" s="10"/>
      <c r="AY791" s="11"/>
      <c r="AZ791" s="2"/>
      <c r="BC791"/>
    </row>
    <row r="792" spans="1:55" hidden="1" x14ac:dyDescent="0.25">
      <c r="A792" s="12" t="str">
        <f ca="1">IF(F792+G792+H792+I792+J792+D792+E792=3,IF(Tabelle2[[#This Row],[Kappe Weiß]]=Limits!$R$29,1,""),"")</f>
        <v/>
      </c>
      <c r="B792" s="282" t="str">
        <f ca="1">IF(G792+H792+I792+J792+E792+F792=2,IF(Tabelle2[[#This Row],[Kappe Weiß]]=Limits!$R$29,1,""),"")</f>
        <v/>
      </c>
      <c r="C792" s="291">
        <v>1</v>
      </c>
      <c r="D792" s="171">
        <f>IF(Limits!$P$5=TRUE,1,0)</f>
        <v>0</v>
      </c>
      <c r="E792" s="172">
        <f>IF(Daten!$P792+Daten!$Q792+Daten!$S792=3,1,0)</f>
        <v>0</v>
      </c>
      <c r="F792" s="173">
        <f ca="1">IF(AND(Limits!$Q$21=TRUE,Daten!O792=1)=TRUE,1,0)</f>
        <v>0</v>
      </c>
      <c r="G792" s="174">
        <f>IF(AND(Limits!$Q$25=TRUE,Daten!N792=1)=TRUE,1,0)</f>
        <v>0</v>
      </c>
      <c r="H792" s="174">
        <f>IF(AND(Limits!$Q$24=TRUE,Daten!M792=1)=TRUE,1,0)</f>
        <v>0</v>
      </c>
      <c r="I792" s="174">
        <f>IF(AND(Limits!$Q$23=TRUE,Daten!L792=1)=TRUE,1,0)</f>
        <v>0</v>
      </c>
      <c r="J792" s="174">
        <f>IF(AND(Limits!$Q$22=TRUE,Daten!K792=1)=TRUE,1,0)</f>
        <v>0</v>
      </c>
      <c r="K792" s="188">
        <f>IF(Daten!$V792=13,1,0)</f>
        <v>1</v>
      </c>
      <c r="L792" s="189">
        <f>IF(Daten!$V792&lt;&gt;Daten!$W792,1,IF(Daten!$V792=14,1,0))</f>
        <v>1</v>
      </c>
      <c r="M792" s="189">
        <f>IF(Daten!$V792&lt;&gt;Daten!$W792,1,IF(Daten!$V792=16,1,0))</f>
        <v>1</v>
      </c>
      <c r="N792" s="189">
        <f>IF(Daten!$W792=17,1,0)</f>
        <v>1</v>
      </c>
      <c r="O792" s="190">
        <f ca="1">IF(Daten!$X792=Sprache!$A$70,1,0)</f>
        <v>0</v>
      </c>
      <c r="P792" s="191">
        <f>IF(AND(Daten!$AQ792&lt;=KINVARO!$AW$3,Daten!$AR792&gt;=KINVARO!$AW$3)=TRUE,1,0)</f>
        <v>1</v>
      </c>
      <c r="Q792" s="192">
        <f>IF(AND(Daten!$AA792&lt;=KINVARO!$AW$4,Daten!$AB792&gt;=KINVARO!$AW$4)=TRUE,1,0)</f>
        <v>0</v>
      </c>
      <c r="R792" s="192"/>
      <c r="S792" s="192">
        <f>IF(AND(Daten!$AD792&lt;=Limits!$I$70,Daten!$AE792&gt;=Limits!$I$70)=TRUE,1,0)</f>
        <v>0</v>
      </c>
      <c r="T792" s="193">
        <f ca="1">IF(Daten!$Y792=Sprache!$A$135,1,0)</f>
        <v>0</v>
      </c>
      <c r="U792" s="124" t="str">
        <f ca="1">Sprache!$A$69</f>
        <v>S-35 Откидной подъемник</v>
      </c>
      <c r="V792" s="194">
        <v>13</v>
      </c>
      <c r="W792" s="193">
        <v>17</v>
      </c>
      <c r="X792" s="187" t="str">
        <f ca="1">Sprache!$A$142</f>
        <v>Alu (Rahmen 19mm)</v>
      </c>
      <c r="Y792" s="187" t="str">
        <f ca="1">Sprache!$A$136</f>
        <v>nein</v>
      </c>
      <c r="Z792" s="187" t="str">
        <f ca="1">Sprache!$A$79</f>
        <v>Створка</v>
      </c>
      <c r="AA792" s="187">
        <v>660</v>
      </c>
      <c r="AB792" s="124">
        <v>689</v>
      </c>
      <c r="AC792" s="187"/>
      <c r="AD792" s="195">
        <v>2</v>
      </c>
      <c r="AE792" s="196">
        <v>5</v>
      </c>
      <c r="AF792" s="263" t="str">
        <f>MID(Tabelle2[[#This Row],[bnr full]],1,4)</f>
        <v>F152</v>
      </c>
      <c r="AG792" s="264" t="str">
        <f>MID(Tabelle2[[#This Row],[bnr full]],5,3)</f>
        <v>000</v>
      </c>
      <c r="AH792" s="265" t="str">
        <f>MID(Tabelle2[[#This Row],[bnr full]],8,3)</f>
        <v>255</v>
      </c>
      <c r="AI792" s="283" t="str">
        <f>MID(Tabelle2[[#This Row],[bnr full]],11,3)</f>
        <v>201</v>
      </c>
      <c r="AJ792" s="247" t="str">
        <f>MID(Tabelle2[[#This Row],[bnr full]],11,3)</f>
        <v>201</v>
      </c>
      <c r="AK792" s="284" t="s">
        <v>809</v>
      </c>
      <c r="AL792" s="187" t="str">
        <f ca="1">Sprache!$A$111</f>
        <v>Комплект (Л + П)</v>
      </c>
      <c r="AM792" s="187" t="s">
        <v>25</v>
      </c>
      <c r="AN792" s="187" t="str">
        <f ca="1">Sprache!$A$120</f>
        <v>Силовой механизм A</v>
      </c>
      <c r="AO792" s="187" t="str">
        <f ca="1">Sprache!$A$147</f>
        <v>Адаптер под алюминиевые рамки к комплекту Kinvaro S-35</v>
      </c>
      <c r="AP792" s="187" t="s">
        <v>814</v>
      </c>
      <c r="AQ792" s="187">
        <v>450</v>
      </c>
      <c r="AR792" s="124">
        <v>1200</v>
      </c>
      <c r="AS792" s="187"/>
      <c r="AT792" s="124"/>
      <c r="AV792"/>
      <c r="AX792" s="10"/>
      <c r="AY792" s="11"/>
      <c r="AZ792" s="2"/>
      <c r="BC792"/>
    </row>
    <row r="793" spans="1:55" hidden="1" x14ac:dyDescent="0.25">
      <c r="A793" s="12" t="str">
        <f ca="1">IF(F793+G793+H793+I793+J793+D793+E793=3,IF(Tabelle2[[#This Row],[Kappe Weiß]]=Limits!$R$29,1,""),"")</f>
        <v/>
      </c>
      <c r="B793" s="282" t="str">
        <f ca="1">IF(G793+H793+I793+J793+E793+F793=2,IF(Tabelle2[[#This Row],[Kappe Weiß]]=Limits!$R$29,1,""),"")</f>
        <v/>
      </c>
      <c r="C793" s="291">
        <v>1</v>
      </c>
      <c r="D793" s="171">
        <f>IF(Limits!$P$5=TRUE,1,0)</f>
        <v>0</v>
      </c>
      <c r="E793" s="172">
        <f>IF(Daten!$P793+Daten!$Q793+Daten!$S793=3,1,0)</f>
        <v>0</v>
      </c>
      <c r="F793" s="173">
        <f ca="1">IF(AND(Limits!$Q$21=TRUE,Daten!O793=1)=TRUE,1,0)</f>
        <v>0</v>
      </c>
      <c r="G793" s="174">
        <f>IF(AND(Limits!$Q$25=TRUE,Daten!N793=1)=TRUE,1,0)</f>
        <v>0</v>
      </c>
      <c r="H793" s="174">
        <f>IF(AND(Limits!$Q$24=TRUE,Daten!M793=1)=TRUE,1,0)</f>
        <v>0</v>
      </c>
      <c r="I793" s="174">
        <f>IF(AND(Limits!$Q$23=TRUE,Daten!L793=1)=TRUE,1,0)</f>
        <v>0</v>
      </c>
      <c r="J793" s="174">
        <f>IF(AND(Limits!$Q$22=TRUE,Daten!K793=1)=TRUE,1,0)</f>
        <v>0</v>
      </c>
      <c r="K793" s="188">
        <f>IF(Daten!$V793=13,1,0)</f>
        <v>1</v>
      </c>
      <c r="L793" s="189">
        <f>IF(Daten!$V793&lt;&gt;Daten!$W793,1,IF(Daten!$V793=14,1,0))</f>
        <v>1</v>
      </c>
      <c r="M793" s="189">
        <f>IF(Daten!$V793&lt;&gt;Daten!$W793,1,IF(Daten!$V793=16,1,0))</f>
        <v>1</v>
      </c>
      <c r="N793" s="189">
        <f>IF(Daten!$W793=17,1,0)</f>
        <v>1</v>
      </c>
      <c r="O793" s="190">
        <f ca="1">IF(Daten!$X793=Sprache!$A$70,1,0)</f>
        <v>0</v>
      </c>
      <c r="P793" s="191">
        <f>IF(AND(Daten!$AQ793&lt;=KINVARO!$AW$3,Daten!$AR793&gt;=KINVARO!$AW$3)=TRUE,1,0)</f>
        <v>1</v>
      </c>
      <c r="Q793" s="192">
        <f>IF(AND(Daten!$AA793&lt;=KINVARO!$AW$4,Daten!$AB793&gt;=KINVARO!$AW$4)=TRUE,1,0)</f>
        <v>0</v>
      </c>
      <c r="R793" s="192"/>
      <c r="S793" s="192">
        <f>IF(AND(Daten!$AD793&lt;=Limits!$I$70,Daten!$AE793&gt;=Limits!$I$70)=TRUE,1,0)</f>
        <v>1</v>
      </c>
      <c r="T793" s="193">
        <f ca="1">IF(Daten!$Y793=Sprache!$A$135,1,0)</f>
        <v>0</v>
      </c>
      <c r="U793" s="124" t="str">
        <f ca="1">Sprache!$A$69</f>
        <v>S-35 Откидной подъемник</v>
      </c>
      <c r="V793" s="194">
        <v>13</v>
      </c>
      <c r="W793" s="193">
        <v>17</v>
      </c>
      <c r="X793" s="187" t="str">
        <f ca="1">Sprache!$A$142</f>
        <v>Alu (Rahmen 19mm)</v>
      </c>
      <c r="Y793" s="187" t="str">
        <f ca="1">Sprache!$A$136</f>
        <v>nein</v>
      </c>
      <c r="Z793" s="187" t="str">
        <f ca="1">Sprache!$A$79</f>
        <v>Створка</v>
      </c>
      <c r="AA793" s="187">
        <v>660</v>
      </c>
      <c r="AB793" s="124">
        <v>689</v>
      </c>
      <c r="AC793" s="187"/>
      <c r="AD793" s="195">
        <v>4</v>
      </c>
      <c r="AE793" s="196">
        <v>10</v>
      </c>
      <c r="AF793" s="263" t="str">
        <f>MID(Tabelle2[[#This Row],[bnr full]],1,4)</f>
        <v>F152</v>
      </c>
      <c r="AG793" s="264" t="str">
        <f>MID(Tabelle2[[#This Row],[bnr full]],5,3)</f>
        <v>000</v>
      </c>
      <c r="AH793" s="265" t="str">
        <f>MID(Tabelle2[[#This Row],[bnr full]],8,3)</f>
        <v>257</v>
      </c>
      <c r="AI793" s="283" t="str">
        <f>MID(Tabelle2[[#This Row],[bnr full]],11,3)</f>
        <v>201</v>
      </c>
      <c r="AJ793" s="247" t="str">
        <f>MID(Tabelle2[[#This Row],[bnr full]],11,3)</f>
        <v>201</v>
      </c>
      <c r="AK793" s="284" t="s">
        <v>811</v>
      </c>
      <c r="AL793" s="187" t="str">
        <f ca="1">Sprache!$A$111</f>
        <v>Комплект (Л + П)</v>
      </c>
      <c r="AM793" s="187" t="s">
        <v>25</v>
      </c>
      <c r="AN793" s="187" t="str">
        <f ca="1">Sprache!$A$122</f>
        <v>Силовой механизм C</v>
      </c>
      <c r="AO793" s="187" t="str">
        <f ca="1">Sprache!$A$147</f>
        <v>Адаптер под алюминиевые рамки к комплекту Kinvaro S-35</v>
      </c>
      <c r="AP793" s="187" t="s">
        <v>814</v>
      </c>
      <c r="AQ793" s="187">
        <v>450</v>
      </c>
      <c r="AR793" s="124">
        <v>1200</v>
      </c>
      <c r="AS793" s="187"/>
      <c r="AT793" s="124"/>
      <c r="AV793"/>
      <c r="AX793" s="10"/>
      <c r="AY793" s="11"/>
      <c r="AZ793" s="2"/>
      <c r="BC793"/>
    </row>
    <row r="794" spans="1:55" hidden="1" x14ac:dyDescent="0.25">
      <c r="A794" s="12" t="str">
        <f ca="1">IF(F794+G794+H794+I794+J794+D794+E794=3,IF(Tabelle2[[#This Row],[Kappe Weiß]]=Limits!$R$29,1,""),"")</f>
        <v/>
      </c>
      <c r="B794" s="282" t="str">
        <f ca="1">IF(G794+H794+I794+J794+E794+F794=2,IF(Tabelle2[[#This Row],[Kappe Weiß]]=Limits!$R$29,1,""),"")</f>
        <v/>
      </c>
      <c r="C794" s="291">
        <v>1</v>
      </c>
      <c r="D794" s="171">
        <f>IF(Limits!$P$5=TRUE,1,0)</f>
        <v>0</v>
      </c>
      <c r="E794" s="172">
        <f>IF(Daten!$P794+Daten!$Q794+Daten!$S794=3,1,0)</f>
        <v>0</v>
      </c>
      <c r="F794" s="173">
        <f ca="1">IF(AND(Limits!$Q$21=TRUE,Daten!O794=1)=TRUE,1,0)</f>
        <v>0</v>
      </c>
      <c r="G794" s="174">
        <f>IF(AND(Limits!$Q$25=TRUE,Daten!N794=1)=TRUE,1,0)</f>
        <v>0</v>
      </c>
      <c r="H794" s="174">
        <f>IF(AND(Limits!$Q$24=TRUE,Daten!M794=1)=TRUE,1,0)</f>
        <v>0</v>
      </c>
      <c r="I794" s="174">
        <f>IF(AND(Limits!$Q$23=TRUE,Daten!L794=1)=TRUE,1,0)</f>
        <v>0</v>
      </c>
      <c r="J794" s="174">
        <f>IF(AND(Limits!$Q$22=TRUE,Daten!K794=1)=TRUE,1,0)</f>
        <v>0</v>
      </c>
      <c r="K794" s="188">
        <f>IF(Daten!$V794=13,1,0)</f>
        <v>1</v>
      </c>
      <c r="L794" s="189">
        <f>IF(Daten!$V794&lt;&gt;Daten!$W794,1,IF(Daten!$V794=14,1,0))</f>
        <v>1</v>
      </c>
      <c r="M794" s="189">
        <f>IF(Daten!$V794&lt;&gt;Daten!$W794,1,IF(Daten!$V794=16,1,0))</f>
        <v>1</v>
      </c>
      <c r="N794" s="189">
        <f>IF(Daten!$W794=17,1,0)</f>
        <v>1</v>
      </c>
      <c r="O794" s="190">
        <f ca="1">IF(Daten!$X794=Sprache!$A$70,1,0)</f>
        <v>0</v>
      </c>
      <c r="P794" s="191">
        <f>IF(AND(Daten!$AQ794&lt;=KINVARO!$AW$3,Daten!$AR794&gt;=KINVARO!$AW$3)=TRUE,1,0)</f>
        <v>1</v>
      </c>
      <c r="Q794" s="192">
        <f>IF(AND(Daten!$AA794&lt;=KINVARO!$AW$4,Daten!$AB794&gt;=KINVARO!$AW$4)=TRUE,1,0)</f>
        <v>0</v>
      </c>
      <c r="R794" s="192"/>
      <c r="S794" s="192">
        <f>IF(AND(Daten!$AD794&lt;=Limits!$I$70,Daten!$AE794&gt;=Limits!$I$70)=TRUE,1,0)</f>
        <v>1</v>
      </c>
      <c r="T794" s="193">
        <f ca="1">IF(Daten!$Y794=Sprache!$A$135,1,0)</f>
        <v>0</v>
      </c>
      <c r="U794" s="124" t="str">
        <f ca="1">Sprache!$A$69</f>
        <v>S-35 Откидной подъемник</v>
      </c>
      <c r="V794" s="194">
        <v>13</v>
      </c>
      <c r="W794" s="193">
        <v>17</v>
      </c>
      <c r="X794" s="187" t="str">
        <f ca="1">Sprache!$A$142</f>
        <v>Alu (Rahmen 19mm)</v>
      </c>
      <c r="Y794" s="187" t="str">
        <f ca="1">Sprache!$A$136</f>
        <v>nein</v>
      </c>
      <c r="Z794" s="187" t="str">
        <f ca="1">Sprache!$A$79</f>
        <v>Створка</v>
      </c>
      <c r="AA794" s="187">
        <v>660</v>
      </c>
      <c r="AB794" s="124">
        <v>689</v>
      </c>
      <c r="AC794" s="187"/>
      <c r="AD794" s="195">
        <v>7.5</v>
      </c>
      <c r="AE794" s="196">
        <v>15</v>
      </c>
      <c r="AF794" s="263" t="str">
        <f>MID(Tabelle2[[#This Row],[bnr full]],1,4)</f>
        <v>F152</v>
      </c>
      <c r="AG794" s="264" t="str">
        <f>MID(Tabelle2[[#This Row],[bnr full]],5,3)</f>
        <v>000</v>
      </c>
      <c r="AH794" s="265" t="str">
        <f>MID(Tabelle2[[#This Row],[bnr full]],8,3)</f>
        <v>258</v>
      </c>
      <c r="AI794" s="283" t="str">
        <f>MID(Tabelle2[[#This Row],[bnr full]],11,3)</f>
        <v>201</v>
      </c>
      <c r="AJ794" s="247" t="str">
        <f>MID(Tabelle2[[#This Row],[bnr full]],11,3)</f>
        <v>201</v>
      </c>
      <c r="AK794" s="284" t="s">
        <v>812</v>
      </c>
      <c r="AL794" s="187" t="str">
        <f ca="1">Sprache!$A$111</f>
        <v>Комплект (Л + П)</v>
      </c>
      <c r="AM794" s="187" t="s">
        <v>25</v>
      </c>
      <c r="AN794" s="187" t="str">
        <f ca="1">Sprache!$A$123</f>
        <v>Силовой механизм D</v>
      </c>
      <c r="AO794" s="187" t="str">
        <f ca="1">Sprache!$A$147</f>
        <v>Адаптер под алюминиевые рамки к комплекту Kinvaro S-35</v>
      </c>
      <c r="AP794" s="187" t="s">
        <v>814</v>
      </c>
      <c r="AQ794" s="187">
        <v>450</v>
      </c>
      <c r="AR794" s="124">
        <v>1200</v>
      </c>
      <c r="AS794" s="187"/>
      <c r="AT794" s="124"/>
      <c r="AV794"/>
      <c r="AX794" s="10"/>
      <c r="AY794" s="11"/>
      <c r="AZ794" s="2"/>
      <c r="BC794"/>
    </row>
    <row r="795" spans="1:55" hidden="1" x14ac:dyDescent="0.25">
      <c r="A795" s="12" t="str">
        <f ca="1">IF(F795+G795+H795+I795+J795+D795+E795=3,IF(Tabelle2[[#This Row],[Kappe Weiß]]=Limits!$R$29,1,""),"")</f>
        <v/>
      </c>
      <c r="B795" s="282" t="str">
        <f ca="1">IF(G795+H795+I795+J795+E795+F795=2,IF(Tabelle2[[#This Row],[Kappe Weiß]]=Limits!$R$29,1,""),"")</f>
        <v/>
      </c>
      <c r="C795" s="291">
        <v>1</v>
      </c>
      <c r="D795" s="171">
        <f>IF(Limits!$P$5=TRUE,1,0)</f>
        <v>0</v>
      </c>
      <c r="E795" s="172">
        <f>IF(Daten!$P795+Daten!$Q795+Daten!$S795=3,1,0)</f>
        <v>0</v>
      </c>
      <c r="F795" s="173">
        <f ca="1">IF(AND(Limits!$Q$21=TRUE,Daten!O795=1)=TRUE,1,0)</f>
        <v>0</v>
      </c>
      <c r="G795" s="174">
        <f>IF(AND(Limits!$Q$25=TRUE,Daten!N795=1)=TRUE,1,0)</f>
        <v>0</v>
      </c>
      <c r="H795" s="174">
        <f>IF(AND(Limits!$Q$24=TRUE,Daten!M795=1)=TRUE,1,0)</f>
        <v>0</v>
      </c>
      <c r="I795" s="174">
        <f>IF(AND(Limits!$Q$23=TRUE,Daten!L795=1)=TRUE,1,0)</f>
        <v>0</v>
      </c>
      <c r="J795" s="174">
        <f>IF(AND(Limits!$Q$22=TRUE,Daten!K795=1)=TRUE,1,0)</f>
        <v>0</v>
      </c>
      <c r="K795" s="188">
        <f>IF(Daten!$V795=13,1,0)</f>
        <v>1</v>
      </c>
      <c r="L795" s="189">
        <f>IF(Daten!$V795&lt;&gt;Daten!$W795,1,IF(Daten!$V795=14,1,0))</f>
        <v>1</v>
      </c>
      <c r="M795" s="189">
        <f>IF(Daten!$V795&lt;&gt;Daten!$W795,1,IF(Daten!$V795=16,1,0))</f>
        <v>1</v>
      </c>
      <c r="N795" s="189">
        <f>IF(Daten!$W795=17,1,0)</f>
        <v>1</v>
      </c>
      <c r="O795" s="190">
        <f ca="1">IF(Daten!$X795=Sprache!$A$70,1,0)</f>
        <v>0</v>
      </c>
      <c r="P795" s="191">
        <f>IF(AND(Daten!$AQ795&lt;=KINVARO!$AW$3,Daten!$AR795&gt;=KINVARO!$AW$3)=TRUE,1,0)</f>
        <v>1</v>
      </c>
      <c r="Q795" s="192">
        <f>IF(AND(Daten!$AA795&lt;=KINVARO!$AW$4,Daten!$AB795&gt;=KINVARO!$AW$4)=TRUE,1,0)</f>
        <v>0</v>
      </c>
      <c r="R795" s="192"/>
      <c r="S795" s="192">
        <f>IF(AND(Daten!$AD795&lt;=Limits!$I$70,Daten!$AE795&gt;=Limits!$I$70)=TRUE,1,0)</f>
        <v>0</v>
      </c>
      <c r="T795" s="193">
        <f ca="1">IF(Daten!$Y795=Sprache!$A$135,1,0)</f>
        <v>0</v>
      </c>
      <c r="U795" s="124" t="str">
        <f ca="1">Sprache!$A$69</f>
        <v>S-35 Откидной подъемник</v>
      </c>
      <c r="V795" s="194">
        <v>13</v>
      </c>
      <c r="W795" s="193">
        <v>17</v>
      </c>
      <c r="X795" s="187" t="str">
        <f ca="1">Sprache!$A$142</f>
        <v>Alu (Rahmen 19mm)</v>
      </c>
      <c r="Y795" s="187" t="str">
        <f ca="1">Sprache!$A$136</f>
        <v>nein</v>
      </c>
      <c r="Z795" s="187" t="str">
        <f ca="1">Sprache!$A$79</f>
        <v>Створка</v>
      </c>
      <c r="AA795" s="187">
        <v>660</v>
      </c>
      <c r="AB795" s="124">
        <v>689</v>
      </c>
      <c r="AC795" s="187"/>
      <c r="AD795" s="195">
        <v>12</v>
      </c>
      <c r="AE795" s="196">
        <v>16.5</v>
      </c>
      <c r="AF795" s="263" t="str">
        <f>MID(Tabelle2[[#This Row],[bnr full]],1,4)</f>
        <v>F152</v>
      </c>
      <c r="AG795" s="264" t="str">
        <f>MID(Tabelle2[[#This Row],[bnr full]],5,3)</f>
        <v>000</v>
      </c>
      <c r="AH795" s="265" t="str">
        <f>MID(Tabelle2[[#This Row],[bnr full]],8,3)</f>
        <v>259</v>
      </c>
      <c r="AI795" s="283" t="str">
        <f>MID(Tabelle2[[#This Row],[bnr full]],11,3)</f>
        <v>201</v>
      </c>
      <c r="AJ795" s="247" t="str">
        <f>MID(Tabelle2[[#This Row],[bnr full]],11,3)</f>
        <v>201</v>
      </c>
      <c r="AK795" s="284" t="s">
        <v>813</v>
      </c>
      <c r="AL795" s="187" t="str">
        <f ca="1">Sprache!$A$111</f>
        <v>Комплект (Л + П)</v>
      </c>
      <c r="AM795" s="187" t="s">
        <v>25</v>
      </c>
      <c r="AN795" s="187" t="str">
        <f ca="1">Sprache!$A$124</f>
        <v>Силовой механизм E</v>
      </c>
      <c r="AO795" s="187" t="str">
        <f ca="1">Sprache!$A$147</f>
        <v>Адаптер под алюминиевые рамки к комплекту Kinvaro S-35</v>
      </c>
      <c r="AP795" s="187" t="s">
        <v>814</v>
      </c>
      <c r="AQ795" s="187">
        <v>450</v>
      </c>
      <c r="AR795" s="124">
        <v>1200</v>
      </c>
      <c r="AS795" s="187"/>
      <c r="AT795" s="124"/>
      <c r="AV795"/>
      <c r="AX795" s="10"/>
      <c r="AY795" s="11"/>
      <c r="AZ795" s="2"/>
      <c r="BC795"/>
    </row>
    <row r="796" spans="1:55" hidden="1" x14ac:dyDescent="0.25">
      <c r="A796" s="12" t="str">
        <f ca="1">IF(F796+G796+H796+I796+J796+D796+E796=3,IF(Tabelle2[[#This Row],[Kappe Weiß]]=Limits!$R$29,1,""),"")</f>
        <v/>
      </c>
      <c r="B796" s="282" t="str">
        <f ca="1">IF(G796+H796+I796+J796+E796+F796=2,IF(Tabelle2[[#This Row],[Kappe Weiß]]=Limits!$R$29,1,""),"")</f>
        <v/>
      </c>
      <c r="C796" s="292">
        <v>1</v>
      </c>
      <c r="D796" s="171">
        <f>IF(Limits!$P$5=TRUE,1,0)</f>
        <v>0</v>
      </c>
      <c r="E796" s="172">
        <f>IF(Daten!$P796+Daten!$Q796+Daten!$S796=3,1,0)</f>
        <v>0</v>
      </c>
      <c r="F796" s="173">
        <f ca="1">IF(AND(Limits!$Q$21=TRUE,Daten!O796=1)=TRUE,1,0)</f>
        <v>1</v>
      </c>
      <c r="G796" s="174">
        <f ca="1">IF(AND(Limits!$Q$25=TRUE,Daten!N796=1)=TRUE,1,0)</f>
        <v>0</v>
      </c>
      <c r="H796" s="174">
        <f ca="1">IF(AND(Limits!$Q$24=TRUE,Daten!M796=1)=TRUE,1,0)</f>
        <v>0</v>
      </c>
      <c r="I796" s="174">
        <f ca="1">IF(AND(Limits!$Q$23=TRUE,Daten!L796=1)=TRUE,1,0)</f>
        <v>0</v>
      </c>
      <c r="J796" s="174">
        <f ca="1">IF(AND(Limits!$Q$22=TRUE,Daten!K796=1)=TRUE,1,0)</f>
        <v>0</v>
      </c>
      <c r="K796" s="188">
        <f ca="1">IF(Daten!$V796=13,1,0)</f>
        <v>0</v>
      </c>
      <c r="L796" s="189">
        <f ca="1">IF(Daten!$V796&lt;&gt;Daten!$W796,1,IF(Daten!$V796=14,1,0))</f>
        <v>0</v>
      </c>
      <c r="M796" s="189">
        <f ca="1">IF(Daten!$V796&lt;&gt;Daten!$W796,1,IF(Daten!$V796=16,1,0))</f>
        <v>0</v>
      </c>
      <c r="N796" s="189">
        <f ca="1">IF(Daten!$W796=17,1,0)</f>
        <v>0</v>
      </c>
      <c r="O796" s="190">
        <f ca="1">IF(Daten!$X796=Sprache!$A$70,1,0)</f>
        <v>1</v>
      </c>
      <c r="P796" s="198">
        <f>IF(AND(Daten!$AQ796&lt;=KINVARO!$AW$3,Daten!$AR796&gt;=KINVARO!$AW$3)=TRUE,1,0)</f>
        <v>1</v>
      </c>
      <c r="Q796" s="199">
        <f>IF(AND(Daten!$AA796&lt;=KINVARO!$AW$4,Daten!$AB796&gt;=KINVARO!$AW$4)=TRUE,1,0)</f>
        <v>0</v>
      </c>
      <c r="R796" s="199"/>
      <c r="S796" s="199">
        <f>IF(AND(Daten!$AD796&lt;=Limits!$I$70,Daten!$AE796&gt;=Limits!$I$70)=TRUE,1,0)</f>
        <v>0</v>
      </c>
      <c r="T796" s="200">
        <f ca="1">IF(Daten!$Y796=Sprache!$A$135,1,0)</f>
        <v>0</v>
      </c>
      <c r="U796" s="201" t="str">
        <f ca="1">Sprache!$A$69</f>
        <v>S-35 Откидной подъемник</v>
      </c>
      <c r="V796" s="194" t="str">
        <f ca="1">Sprache!$A$74</f>
        <v>var</v>
      </c>
      <c r="W796" s="200" t="str">
        <f ca="1">Sprache!$A$74</f>
        <v>var</v>
      </c>
      <c r="X796" s="187" t="str">
        <f ca="1">Sprache!$A$70</f>
        <v>соединение с древесиной</v>
      </c>
      <c r="Y796" s="187" t="str">
        <f ca="1">Sprache!$A$136</f>
        <v>nein</v>
      </c>
      <c r="Z796" s="187" t="str">
        <f ca="1">Sprache!$A$79</f>
        <v>Створка</v>
      </c>
      <c r="AA796" s="187">
        <v>690</v>
      </c>
      <c r="AB796" s="201">
        <v>719</v>
      </c>
      <c r="AC796" s="187"/>
      <c r="AD796" s="195">
        <v>2</v>
      </c>
      <c r="AE796" s="205">
        <v>5</v>
      </c>
      <c r="AF796" s="263" t="str">
        <f>MID(Tabelle2[[#This Row],[bnr full]],1,4)</f>
        <v>F152</v>
      </c>
      <c r="AG796" s="267" t="str">
        <f>MID(Tabelle2[[#This Row],[bnr full]],5,3)</f>
        <v>000</v>
      </c>
      <c r="AH796" s="268" t="str">
        <f>MID(Tabelle2[[#This Row],[bnr full]],8,3)</f>
        <v>255</v>
      </c>
      <c r="AI796" s="286" t="str">
        <f>MID(Tabelle2[[#This Row],[bnr full]],11,3)</f>
        <v>201</v>
      </c>
      <c r="AJ796" s="248" t="str">
        <f>MID(Tabelle2[[#This Row],[bnr full]],11,3)</f>
        <v>201</v>
      </c>
      <c r="AK796" s="284" t="s">
        <v>809</v>
      </c>
      <c r="AL796" s="187" t="str">
        <f ca="1">Sprache!$A$111</f>
        <v>Комплект (Л + П)</v>
      </c>
      <c r="AM796" s="187" t="s">
        <v>25</v>
      </c>
      <c r="AN796" s="187" t="str">
        <f ca="1">Sprache!$A$120</f>
        <v>Силовой механизм A</v>
      </c>
      <c r="AO796" s="187" t="s">
        <v>25</v>
      </c>
      <c r="AP796" s="187" t="s">
        <v>25</v>
      </c>
      <c r="AQ796" s="187">
        <v>450</v>
      </c>
      <c r="AR796" s="201">
        <v>1200</v>
      </c>
      <c r="AS796" s="187"/>
      <c r="AT796" s="124"/>
      <c r="AV796"/>
      <c r="AX796" s="10"/>
      <c r="AY796" s="11"/>
      <c r="AZ796" s="2"/>
      <c r="BC796"/>
    </row>
    <row r="797" spans="1:55" hidden="1" x14ac:dyDescent="0.25">
      <c r="A797" s="12" t="str">
        <f ca="1">IF(F797+G797+H797+I797+J797+D797+E797=3,IF(Tabelle2[[#This Row],[Kappe Weiß]]=Limits!$R$29,1,""),"")</f>
        <v/>
      </c>
      <c r="B797" s="282" t="str">
        <f ca="1">IF(G797+H797+I797+J797+E797+F797=2,IF(Tabelle2[[#This Row],[Kappe Weiß]]=Limits!$R$29,1,""),"")</f>
        <v/>
      </c>
      <c r="C797" s="291">
        <v>1</v>
      </c>
      <c r="D797" s="171">
        <f>IF(Limits!$P$5=TRUE,1,0)</f>
        <v>0</v>
      </c>
      <c r="E797" s="172">
        <f>IF(Daten!$P797+Daten!$Q797+Daten!$S797=3,1,0)</f>
        <v>0</v>
      </c>
      <c r="F797" s="173">
        <f ca="1">IF(AND(Limits!$Q$21=TRUE,Daten!O797=1)=TRUE,1,0)</f>
        <v>1</v>
      </c>
      <c r="G797" s="174">
        <f ca="1">IF(AND(Limits!$Q$25=TRUE,Daten!N797=1)=TRUE,1,0)</f>
        <v>0</v>
      </c>
      <c r="H797" s="174">
        <f ca="1">IF(AND(Limits!$Q$24=TRUE,Daten!M797=1)=TRUE,1,0)</f>
        <v>0</v>
      </c>
      <c r="I797" s="174">
        <f ca="1">IF(AND(Limits!$Q$23=TRUE,Daten!L797=1)=TRUE,1,0)</f>
        <v>0</v>
      </c>
      <c r="J797" s="174">
        <f ca="1">IF(AND(Limits!$Q$22=TRUE,Daten!K797=1)=TRUE,1,0)</f>
        <v>0</v>
      </c>
      <c r="K797" s="188">
        <f ca="1">IF(Daten!$V797=13,1,0)</f>
        <v>0</v>
      </c>
      <c r="L797" s="189">
        <f ca="1">IF(Daten!$V797&lt;&gt;Daten!$W797,1,IF(Daten!$V797=14,1,0))</f>
        <v>0</v>
      </c>
      <c r="M797" s="189">
        <f ca="1">IF(Daten!$V797&lt;&gt;Daten!$W797,1,IF(Daten!$V797=16,1,0))</f>
        <v>0</v>
      </c>
      <c r="N797" s="189">
        <f ca="1">IF(Daten!$W797=17,1,0)</f>
        <v>0</v>
      </c>
      <c r="O797" s="190">
        <f ca="1">IF(Daten!$X797=Sprache!$A$70,1,0)</f>
        <v>1</v>
      </c>
      <c r="P797" s="191">
        <f>IF(AND(Daten!$AQ797&lt;=KINVARO!$AW$3,Daten!$AR797&gt;=KINVARO!$AW$3)=TRUE,1,0)</f>
        <v>1</v>
      </c>
      <c r="Q797" s="192">
        <f>IF(AND(Daten!$AA797&lt;=KINVARO!$AW$4,Daten!$AB797&gt;=KINVARO!$AW$4)=TRUE,1,0)</f>
        <v>0</v>
      </c>
      <c r="R797" s="192"/>
      <c r="S797" s="192">
        <f>IF(AND(Daten!$AD797&lt;=Limits!$I$70,Daten!$AE797&gt;=Limits!$I$70)=TRUE,1,0)</f>
        <v>0</v>
      </c>
      <c r="T797" s="193">
        <f ca="1">IF(Daten!$Y797=Sprache!$A$135,1,0)</f>
        <v>0</v>
      </c>
      <c r="U797" s="124" t="str">
        <f ca="1">Sprache!$A$69</f>
        <v>S-35 Откидной подъемник</v>
      </c>
      <c r="V797" s="194" t="str">
        <f ca="1">Sprache!$A$74</f>
        <v>var</v>
      </c>
      <c r="W797" s="193" t="str">
        <f ca="1">Sprache!$A$74</f>
        <v>var</v>
      </c>
      <c r="X797" s="187" t="str">
        <f ca="1">Sprache!$A$70</f>
        <v>соединение с древесиной</v>
      </c>
      <c r="Y797" s="187" t="str">
        <f ca="1">Sprache!$A$136</f>
        <v>nein</v>
      </c>
      <c r="Z797" s="187" t="str">
        <f ca="1">Sprache!$A$79</f>
        <v>Створка</v>
      </c>
      <c r="AA797" s="187">
        <v>690</v>
      </c>
      <c r="AB797" s="124">
        <v>719</v>
      </c>
      <c r="AC797" s="187"/>
      <c r="AD797" s="195">
        <v>4</v>
      </c>
      <c r="AE797" s="196">
        <v>8.5</v>
      </c>
      <c r="AF797" s="263" t="str">
        <f>MID(Tabelle2[[#This Row],[bnr full]],1,4)</f>
        <v>F152</v>
      </c>
      <c r="AG797" s="264" t="str">
        <f>MID(Tabelle2[[#This Row],[bnr full]],5,3)</f>
        <v>000</v>
      </c>
      <c r="AH797" s="265" t="str">
        <f>MID(Tabelle2[[#This Row],[bnr full]],8,3)</f>
        <v>257</v>
      </c>
      <c r="AI797" s="283" t="str">
        <f>MID(Tabelle2[[#This Row],[bnr full]],11,3)</f>
        <v>201</v>
      </c>
      <c r="AJ797" s="247" t="str">
        <f>MID(Tabelle2[[#This Row],[bnr full]],11,3)</f>
        <v>201</v>
      </c>
      <c r="AK797" s="284" t="s">
        <v>811</v>
      </c>
      <c r="AL797" s="187" t="str">
        <f ca="1">Sprache!$A$111</f>
        <v>Комплект (Л + П)</v>
      </c>
      <c r="AM797" s="187" t="s">
        <v>25</v>
      </c>
      <c r="AN797" s="187" t="str">
        <f ca="1">Sprache!$A$122</f>
        <v>Силовой механизм C</v>
      </c>
      <c r="AO797" s="187" t="s">
        <v>25</v>
      </c>
      <c r="AP797" s="187" t="s">
        <v>25</v>
      </c>
      <c r="AQ797" s="187">
        <v>450</v>
      </c>
      <c r="AR797" s="124">
        <v>1200</v>
      </c>
      <c r="AS797" s="187"/>
      <c r="AT797" s="124"/>
      <c r="AV797"/>
      <c r="AX797" s="10"/>
      <c r="AY797" s="11"/>
      <c r="AZ797" s="2"/>
      <c r="BC797"/>
    </row>
    <row r="798" spans="1:55" hidden="1" x14ac:dyDescent="0.25">
      <c r="A798" s="12" t="str">
        <f ca="1">IF(F798+G798+H798+I798+J798+D798+E798=3,IF(Tabelle2[[#This Row],[Kappe Weiß]]=Limits!$R$29,1,""),"")</f>
        <v/>
      </c>
      <c r="B798" s="282" t="str">
        <f ca="1">IF(G798+H798+I798+J798+E798+F798=2,IF(Tabelle2[[#This Row],[Kappe Weiß]]=Limits!$R$29,1,""),"")</f>
        <v/>
      </c>
      <c r="C798" s="291">
        <v>1</v>
      </c>
      <c r="D798" s="171">
        <f>IF(Limits!$P$5=TRUE,1,0)</f>
        <v>0</v>
      </c>
      <c r="E798" s="172">
        <f>IF(Daten!$P798+Daten!$Q798+Daten!$S798=3,1,0)</f>
        <v>0</v>
      </c>
      <c r="F798" s="173">
        <f ca="1">IF(AND(Limits!$Q$21=TRUE,Daten!O798=1)=TRUE,1,0)</f>
        <v>1</v>
      </c>
      <c r="G798" s="174">
        <f ca="1">IF(AND(Limits!$Q$25=TRUE,Daten!N798=1)=TRUE,1,0)</f>
        <v>0</v>
      </c>
      <c r="H798" s="174">
        <f ca="1">IF(AND(Limits!$Q$24=TRUE,Daten!M798=1)=TRUE,1,0)</f>
        <v>0</v>
      </c>
      <c r="I798" s="174">
        <f ca="1">IF(AND(Limits!$Q$23=TRUE,Daten!L798=1)=TRUE,1,0)</f>
        <v>0</v>
      </c>
      <c r="J798" s="174">
        <f ca="1">IF(AND(Limits!$Q$22=TRUE,Daten!K798=1)=TRUE,1,0)</f>
        <v>0</v>
      </c>
      <c r="K798" s="188">
        <f ca="1">IF(Daten!$V798=13,1,0)</f>
        <v>0</v>
      </c>
      <c r="L798" s="189">
        <f ca="1">IF(Daten!$V798&lt;&gt;Daten!$W798,1,IF(Daten!$V798=14,1,0))</f>
        <v>0</v>
      </c>
      <c r="M798" s="189">
        <f ca="1">IF(Daten!$V798&lt;&gt;Daten!$W798,1,IF(Daten!$V798=16,1,0))</f>
        <v>0</v>
      </c>
      <c r="N798" s="189">
        <f ca="1">IF(Daten!$W798=17,1,0)</f>
        <v>0</v>
      </c>
      <c r="O798" s="190">
        <f ca="1">IF(Daten!$X798=Sprache!$A$70,1,0)</f>
        <v>1</v>
      </c>
      <c r="P798" s="191">
        <f>IF(AND(Daten!$AQ798&lt;=KINVARO!$AW$3,Daten!$AR798&gt;=KINVARO!$AW$3)=TRUE,1,0)</f>
        <v>1</v>
      </c>
      <c r="Q798" s="192">
        <f>IF(AND(Daten!$AA798&lt;=KINVARO!$AW$4,Daten!$AB798&gt;=KINVARO!$AW$4)=TRUE,1,0)</f>
        <v>0</v>
      </c>
      <c r="R798" s="192"/>
      <c r="S798" s="192">
        <f>IF(AND(Daten!$AD798&lt;=Limits!$I$70,Daten!$AE798&gt;=Limits!$I$70)=TRUE,1,0)</f>
        <v>1</v>
      </c>
      <c r="T798" s="193">
        <f ca="1">IF(Daten!$Y798=Sprache!$A$135,1,0)</f>
        <v>0</v>
      </c>
      <c r="U798" s="124" t="str">
        <f ca="1">Sprache!$A$69</f>
        <v>S-35 Откидной подъемник</v>
      </c>
      <c r="V798" s="194" t="str">
        <f ca="1">Sprache!$A$74</f>
        <v>var</v>
      </c>
      <c r="W798" s="193" t="str">
        <f ca="1">Sprache!$A$74</f>
        <v>var</v>
      </c>
      <c r="X798" s="187" t="str">
        <f ca="1">Sprache!$A$70</f>
        <v>соединение с древесиной</v>
      </c>
      <c r="Y798" s="187" t="str">
        <f ca="1">Sprache!$A$136</f>
        <v>nein</v>
      </c>
      <c r="Z798" s="187" t="str">
        <f ca="1">Sprache!$A$79</f>
        <v>Створка</v>
      </c>
      <c r="AA798" s="187">
        <v>690</v>
      </c>
      <c r="AB798" s="124">
        <v>719</v>
      </c>
      <c r="AC798" s="187"/>
      <c r="AD798" s="195">
        <v>6.5</v>
      </c>
      <c r="AE798" s="196">
        <v>13.5</v>
      </c>
      <c r="AF798" s="263" t="str">
        <f>MID(Tabelle2[[#This Row],[bnr full]],1,4)</f>
        <v>F152</v>
      </c>
      <c r="AG798" s="264" t="str">
        <f>MID(Tabelle2[[#This Row],[bnr full]],5,3)</f>
        <v>000</v>
      </c>
      <c r="AH798" s="265" t="str">
        <f>MID(Tabelle2[[#This Row],[bnr full]],8,3)</f>
        <v>258</v>
      </c>
      <c r="AI798" s="283" t="str">
        <f>MID(Tabelle2[[#This Row],[bnr full]],11,3)</f>
        <v>201</v>
      </c>
      <c r="AJ798" s="247" t="str">
        <f>MID(Tabelle2[[#This Row],[bnr full]],11,3)</f>
        <v>201</v>
      </c>
      <c r="AK798" s="284" t="s">
        <v>812</v>
      </c>
      <c r="AL798" s="187" t="str">
        <f ca="1">Sprache!$A$111</f>
        <v>Комплект (Л + П)</v>
      </c>
      <c r="AM798" s="187" t="s">
        <v>25</v>
      </c>
      <c r="AN798" s="187" t="str">
        <f ca="1">Sprache!$A$123</f>
        <v>Силовой механизм D</v>
      </c>
      <c r="AO798" s="187" t="s">
        <v>25</v>
      </c>
      <c r="AP798" s="187" t="s">
        <v>25</v>
      </c>
      <c r="AQ798" s="187">
        <v>450</v>
      </c>
      <c r="AR798" s="124">
        <v>1200</v>
      </c>
      <c r="AS798" s="187"/>
      <c r="AT798" s="124"/>
      <c r="AV798"/>
      <c r="AX798" s="10"/>
      <c r="AY798" s="11"/>
      <c r="AZ798" s="2"/>
      <c r="BC798"/>
    </row>
    <row r="799" spans="1:55" hidden="1" x14ac:dyDescent="0.25">
      <c r="A799" s="12" t="str">
        <f ca="1">IF(F799+G799+H799+I799+J799+D799+E799=3,IF(Tabelle2[[#This Row],[Kappe Weiß]]=Limits!$R$29,1,""),"")</f>
        <v/>
      </c>
      <c r="B799" s="282" t="str">
        <f ca="1">IF(G799+H799+I799+J799+E799+F799=2,IF(Tabelle2[[#This Row],[Kappe Weiß]]=Limits!$R$29,1,""),"")</f>
        <v/>
      </c>
      <c r="C799" s="291">
        <v>1</v>
      </c>
      <c r="D799" s="171">
        <f>IF(Limits!$P$5=TRUE,1,0)</f>
        <v>0</v>
      </c>
      <c r="E799" s="172">
        <f>IF(Daten!$P799+Daten!$Q799+Daten!$S799=3,1,0)</f>
        <v>0</v>
      </c>
      <c r="F799" s="173">
        <f ca="1">IF(AND(Limits!$Q$21=TRUE,Daten!O799=1)=TRUE,1,0)</f>
        <v>1</v>
      </c>
      <c r="G799" s="174">
        <f ca="1">IF(AND(Limits!$Q$25=TRUE,Daten!N799=1)=TRUE,1,0)</f>
        <v>0</v>
      </c>
      <c r="H799" s="174">
        <f ca="1">IF(AND(Limits!$Q$24=TRUE,Daten!M799=1)=TRUE,1,0)</f>
        <v>0</v>
      </c>
      <c r="I799" s="174">
        <f ca="1">IF(AND(Limits!$Q$23=TRUE,Daten!L799=1)=TRUE,1,0)</f>
        <v>0</v>
      </c>
      <c r="J799" s="174">
        <f ca="1">IF(AND(Limits!$Q$22=TRUE,Daten!K799=1)=TRUE,1,0)</f>
        <v>0</v>
      </c>
      <c r="K799" s="188">
        <f ca="1">IF(Daten!$V799=13,1,0)</f>
        <v>0</v>
      </c>
      <c r="L799" s="189">
        <f ca="1">IF(Daten!$V799&lt;&gt;Daten!$W799,1,IF(Daten!$V799=14,1,0))</f>
        <v>0</v>
      </c>
      <c r="M799" s="189">
        <f ca="1">IF(Daten!$V799&lt;&gt;Daten!$W799,1,IF(Daten!$V799=16,1,0))</f>
        <v>0</v>
      </c>
      <c r="N799" s="189">
        <f ca="1">IF(Daten!$W799=17,1,0)</f>
        <v>0</v>
      </c>
      <c r="O799" s="190">
        <f ca="1">IF(Daten!$X799=Sprache!$A$70,1,0)</f>
        <v>1</v>
      </c>
      <c r="P799" s="191">
        <f>IF(AND(Daten!$AQ799&lt;=KINVARO!$AW$3,Daten!$AR799&gt;=KINVARO!$AW$3)=TRUE,1,0)</f>
        <v>1</v>
      </c>
      <c r="Q799" s="192">
        <f>IF(AND(Daten!$AA799&lt;=KINVARO!$AW$4,Daten!$AB799&gt;=KINVARO!$AW$4)=TRUE,1,0)</f>
        <v>0</v>
      </c>
      <c r="R799" s="192"/>
      <c r="S799" s="192">
        <f>IF(AND(Daten!$AD799&lt;=Limits!$I$70,Daten!$AE799&gt;=Limits!$I$70)=TRUE,1,0)</f>
        <v>0</v>
      </c>
      <c r="T799" s="193">
        <f ca="1">IF(Daten!$Y799=Sprache!$A$135,1,0)</f>
        <v>0</v>
      </c>
      <c r="U799" s="124" t="str">
        <f ca="1">Sprache!$A$69</f>
        <v>S-35 Откидной подъемник</v>
      </c>
      <c r="V799" s="194" t="str">
        <f ca="1">Sprache!$A$74</f>
        <v>var</v>
      </c>
      <c r="W799" s="193" t="str">
        <f ca="1">Sprache!$A$74</f>
        <v>var</v>
      </c>
      <c r="X799" s="187" t="str">
        <f ca="1">Sprache!$A$70</f>
        <v>соединение с древесиной</v>
      </c>
      <c r="Y799" s="187" t="str">
        <f ca="1">Sprache!$A$136</f>
        <v>nein</v>
      </c>
      <c r="Z799" s="187" t="str">
        <f ca="1">Sprache!$A$79</f>
        <v>Створка</v>
      </c>
      <c r="AA799" s="187">
        <v>690</v>
      </c>
      <c r="AB799" s="124">
        <v>719</v>
      </c>
      <c r="AC799" s="187"/>
      <c r="AD799" s="195">
        <v>12</v>
      </c>
      <c r="AE799" s="196">
        <v>17.5</v>
      </c>
      <c r="AF799" s="263" t="str">
        <f>MID(Tabelle2[[#This Row],[bnr full]],1,4)</f>
        <v>F152</v>
      </c>
      <c r="AG799" s="264" t="str">
        <f>MID(Tabelle2[[#This Row],[bnr full]],5,3)</f>
        <v>000</v>
      </c>
      <c r="AH799" s="265" t="str">
        <f>MID(Tabelle2[[#This Row],[bnr full]],8,3)</f>
        <v>259</v>
      </c>
      <c r="AI799" s="283" t="str">
        <f>MID(Tabelle2[[#This Row],[bnr full]],11,3)</f>
        <v>201</v>
      </c>
      <c r="AJ799" s="247" t="str">
        <f>MID(Tabelle2[[#This Row],[bnr full]],11,3)</f>
        <v>201</v>
      </c>
      <c r="AK799" s="284" t="s">
        <v>813</v>
      </c>
      <c r="AL799" s="187" t="str">
        <f ca="1">Sprache!$A$111</f>
        <v>Комплект (Л + П)</v>
      </c>
      <c r="AM799" s="187" t="s">
        <v>25</v>
      </c>
      <c r="AN799" s="187" t="str">
        <f ca="1">Sprache!$A$124</f>
        <v>Силовой механизм E</v>
      </c>
      <c r="AO799" s="187" t="s">
        <v>25</v>
      </c>
      <c r="AP799" s="187" t="s">
        <v>25</v>
      </c>
      <c r="AQ799" s="187">
        <v>450</v>
      </c>
      <c r="AR799" s="124">
        <v>1200</v>
      </c>
      <c r="AS799" s="187"/>
      <c r="AT799" s="124"/>
      <c r="AV799"/>
      <c r="AX799" s="10"/>
      <c r="AY799" s="11"/>
      <c r="AZ799" s="2"/>
      <c r="BC799"/>
    </row>
    <row r="800" spans="1:55" hidden="1" x14ac:dyDescent="0.25">
      <c r="A800" s="12" t="str">
        <f ca="1">IF(F800+G800+H800+I800+J800+D800+E800=3,IF(Tabelle2[[#This Row],[Kappe Weiß]]=Limits!$R$29,1,""),"")</f>
        <v/>
      </c>
      <c r="B800" s="282" t="str">
        <f ca="1">IF(G800+H800+I800+J800+E800+F800=2,IF(Tabelle2[[#This Row],[Kappe Weiß]]=Limits!$R$29,1,""),"")</f>
        <v/>
      </c>
      <c r="C800" s="291">
        <v>1</v>
      </c>
      <c r="D800" s="171">
        <f>IF(Limits!$P$5=TRUE,1,0)</f>
        <v>0</v>
      </c>
      <c r="E800" s="172">
        <f>IF(Daten!$P800+Daten!$Q800+Daten!$S800=3,1,0)</f>
        <v>0</v>
      </c>
      <c r="F800" s="173">
        <f ca="1">IF(AND(Limits!$Q$21=TRUE,Daten!O800=1)=TRUE,1,0)</f>
        <v>0</v>
      </c>
      <c r="G800" s="174">
        <f>IF(AND(Limits!$Q$25=TRUE,Daten!N800=1)=TRUE,1,0)</f>
        <v>0</v>
      </c>
      <c r="H800" s="174">
        <f>IF(AND(Limits!$Q$24=TRUE,Daten!M800=1)=TRUE,1,0)</f>
        <v>0</v>
      </c>
      <c r="I800" s="174">
        <f>IF(AND(Limits!$Q$23=TRUE,Daten!L800=1)=TRUE,1,0)</f>
        <v>0</v>
      </c>
      <c r="J800" s="174">
        <f>IF(AND(Limits!$Q$22=TRUE,Daten!K800=1)=TRUE,1,0)</f>
        <v>0</v>
      </c>
      <c r="K800" s="188">
        <f>IF(Daten!$V800=13,1,0)</f>
        <v>1</v>
      </c>
      <c r="L800" s="189">
        <f>IF(Daten!$V800&lt;&gt;Daten!$W800,1,IF(Daten!$V800=14,1,0))</f>
        <v>1</v>
      </c>
      <c r="M800" s="189">
        <f>IF(Daten!$V800&lt;&gt;Daten!$W800,1,IF(Daten!$V800=16,1,0))</f>
        <v>1</v>
      </c>
      <c r="N800" s="189">
        <f>IF(Daten!$W800=17,1,0)</f>
        <v>1</v>
      </c>
      <c r="O800" s="190">
        <f ca="1">IF(Daten!$X800=Sprache!$A$70,1,0)</f>
        <v>0</v>
      </c>
      <c r="P800" s="191">
        <f>IF(AND(Daten!$AQ800&lt;=KINVARO!$AW$3,Daten!$AR800&gt;=KINVARO!$AW$3)=TRUE,1,0)</f>
        <v>1</v>
      </c>
      <c r="Q800" s="192">
        <f>IF(AND(Daten!$AA800&lt;=KINVARO!$AW$4,Daten!$AB800&gt;=KINVARO!$AW$4)=TRUE,1,0)</f>
        <v>0</v>
      </c>
      <c r="R800" s="192"/>
      <c r="S800" s="192">
        <f>IF(AND(Daten!$AD800&lt;=Limits!$I$70,Daten!$AE800&gt;=Limits!$I$70)=TRUE,1,0)</f>
        <v>0</v>
      </c>
      <c r="T800" s="193">
        <f ca="1">IF(Daten!$Y800=Sprache!$A$135,1,0)</f>
        <v>0</v>
      </c>
      <c r="U800" s="124" t="str">
        <f ca="1">Sprache!$A$69</f>
        <v>S-35 Откидной подъемник</v>
      </c>
      <c r="V800" s="194">
        <v>13</v>
      </c>
      <c r="W800" s="193">
        <v>17</v>
      </c>
      <c r="X800" s="187" t="str">
        <f ca="1">Sprache!$A$142</f>
        <v>Alu (Rahmen 19mm)</v>
      </c>
      <c r="Y800" s="187" t="str">
        <f ca="1">Sprache!$A$136</f>
        <v>nein</v>
      </c>
      <c r="Z800" s="187" t="str">
        <f ca="1">Sprache!$A$79</f>
        <v>Створка</v>
      </c>
      <c r="AA800" s="187">
        <v>690</v>
      </c>
      <c r="AB800" s="124">
        <v>719</v>
      </c>
      <c r="AC800" s="187"/>
      <c r="AD800" s="195">
        <v>2</v>
      </c>
      <c r="AE800" s="196">
        <v>5</v>
      </c>
      <c r="AF800" s="263" t="str">
        <f>MID(Tabelle2[[#This Row],[bnr full]],1,4)</f>
        <v>F152</v>
      </c>
      <c r="AG800" s="264" t="str">
        <f>MID(Tabelle2[[#This Row],[bnr full]],5,3)</f>
        <v>000</v>
      </c>
      <c r="AH800" s="265" t="str">
        <f>MID(Tabelle2[[#This Row],[bnr full]],8,3)</f>
        <v>255</v>
      </c>
      <c r="AI800" s="283" t="str">
        <f>MID(Tabelle2[[#This Row],[bnr full]],11,3)</f>
        <v>201</v>
      </c>
      <c r="AJ800" s="247" t="str">
        <f>MID(Tabelle2[[#This Row],[bnr full]],11,3)</f>
        <v>201</v>
      </c>
      <c r="AK800" s="284" t="s">
        <v>809</v>
      </c>
      <c r="AL800" s="187" t="str">
        <f ca="1">Sprache!$A$111</f>
        <v>Комплект (Л + П)</v>
      </c>
      <c r="AM800" s="187" t="s">
        <v>25</v>
      </c>
      <c r="AN800" s="187" t="str">
        <f ca="1">Sprache!$A$120</f>
        <v>Силовой механизм A</v>
      </c>
      <c r="AO800" s="187" t="str">
        <f ca="1">Sprache!$A$147</f>
        <v>Адаптер под алюминиевые рамки к комплекту Kinvaro S-35</v>
      </c>
      <c r="AP800" s="187" t="s">
        <v>814</v>
      </c>
      <c r="AQ800" s="187">
        <v>450</v>
      </c>
      <c r="AR800" s="124">
        <v>1200</v>
      </c>
      <c r="AS800" s="187"/>
      <c r="AT800" s="124"/>
      <c r="AV800"/>
      <c r="AX800" s="10"/>
      <c r="AY800" s="11"/>
      <c r="AZ800" s="2"/>
      <c r="BC800"/>
    </row>
    <row r="801" spans="1:55" hidden="1" x14ac:dyDescent="0.25">
      <c r="A801" s="12" t="str">
        <f ca="1">IF(F801+G801+H801+I801+J801+D801+E801=3,IF(Tabelle2[[#This Row],[Kappe Weiß]]=Limits!$R$29,1,""),"")</f>
        <v/>
      </c>
      <c r="B801" s="282" t="str">
        <f ca="1">IF(G801+H801+I801+J801+E801+F801=2,IF(Tabelle2[[#This Row],[Kappe Weiß]]=Limits!$R$29,1,""),"")</f>
        <v/>
      </c>
      <c r="C801" s="291">
        <v>1</v>
      </c>
      <c r="D801" s="171">
        <f>IF(Limits!$P$5=TRUE,1,0)</f>
        <v>0</v>
      </c>
      <c r="E801" s="172">
        <f>IF(Daten!$P801+Daten!$Q801+Daten!$S801=3,1,0)</f>
        <v>0</v>
      </c>
      <c r="F801" s="173">
        <f ca="1">IF(AND(Limits!$Q$21=TRUE,Daten!O801=1)=TRUE,1,0)</f>
        <v>0</v>
      </c>
      <c r="G801" s="174">
        <f>IF(AND(Limits!$Q$25=TRUE,Daten!N801=1)=TRUE,1,0)</f>
        <v>0</v>
      </c>
      <c r="H801" s="174">
        <f>IF(AND(Limits!$Q$24=TRUE,Daten!M801=1)=TRUE,1,0)</f>
        <v>0</v>
      </c>
      <c r="I801" s="174">
        <f>IF(AND(Limits!$Q$23=TRUE,Daten!L801=1)=TRUE,1,0)</f>
        <v>0</v>
      </c>
      <c r="J801" s="174">
        <f>IF(AND(Limits!$Q$22=TRUE,Daten!K801=1)=TRUE,1,0)</f>
        <v>0</v>
      </c>
      <c r="K801" s="188">
        <f>IF(Daten!$V801=13,1,0)</f>
        <v>1</v>
      </c>
      <c r="L801" s="189">
        <f>IF(Daten!$V801&lt;&gt;Daten!$W801,1,IF(Daten!$V801=14,1,0))</f>
        <v>1</v>
      </c>
      <c r="M801" s="189">
        <f>IF(Daten!$V801&lt;&gt;Daten!$W801,1,IF(Daten!$V801=16,1,0))</f>
        <v>1</v>
      </c>
      <c r="N801" s="189">
        <f>IF(Daten!$W801=17,1,0)</f>
        <v>1</v>
      </c>
      <c r="O801" s="190">
        <f ca="1">IF(Daten!$X801=Sprache!$A$70,1,0)</f>
        <v>0</v>
      </c>
      <c r="P801" s="191">
        <f>IF(AND(Daten!$AQ801&lt;=KINVARO!$AW$3,Daten!$AR801&gt;=KINVARO!$AW$3)=TRUE,1,0)</f>
        <v>1</v>
      </c>
      <c r="Q801" s="192">
        <f>IF(AND(Daten!$AA801&lt;=KINVARO!$AW$4,Daten!$AB801&gt;=KINVARO!$AW$4)=TRUE,1,0)</f>
        <v>0</v>
      </c>
      <c r="R801" s="192"/>
      <c r="S801" s="192">
        <f>IF(AND(Daten!$AD801&lt;=Limits!$I$70,Daten!$AE801&gt;=Limits!$I$70)=TRUE,1,0)</f>
        <v>0</v>
      </c>
      <c r="T801" s="193">
        <f ca="1">IF(Daten!$Y801=Sprache!$A$135,1,0)</f>
        <v>0</v>
      </c>
      <c r="U801" s="124" t="str">
        <f ca="1">Sprache!$A$69</f>
        <v>S-35 Откидной подъемник</v>
      </c>
      <c r="V801" s="194">
        <v>13</v>
      </c>
      <c r="W801" s="193">
        <v>17</v>
      </c>
      <c r="X801" s="187" t="str">
        <f ca="1">Sprache!$A$142</f>
        <v>Alu (Rahmen 19mm)</v>
      </c>
      <c r="Y801" s="187" t="str">
        <f ca="1">Sprache!$A$136</f>
        <v>nein</v>
      </c>
      <c r="Z801" s="187" t="str">
        <f ca="1">Sprache!$A$79</f>
        <v>Створка</v>
      </c>
      <c r="AA801" s="187">
        <v>690</v>
      </c>
      <c r="AB801" s="124">
        <v>719</v>
      </c>
      <c r="AC801" s="187"/>
      <c r="AD801" s="195">
        <v>4</v>
      </c>
      <c r="AE801" s="196">
        <v>8.5</v>
      </c>
      <c r="AF801" s="263" t="str">
        <f>MID(Tabelle2[[#This Row],[bnr full]],1,4)</f>
        <v>F152</v>
      </c>
      <c r="AG801" s="264" t="str">
        <f>MID(Tabelle2[[#This Row],[bnr full]],5,3)</f>
        <v>000</v>
      </c>
      <c r="AH801" s="265" t="str">
        <f>MID(Tabelle2[[#This Row],[bnr full]],8,3)</f>
        <v>257</v>
      </c>
      <c r="AI801" s="283" t="str">
        <f>MID(Tabelle2[[#This Row],[bnr full]],11,3)</f>
        <v>201</v>
      </c>
      <c r="AJ801" s="247" t="str">
        <f>MID(Tabelle2[[#This Row],[bnr full]],11,3)</f>
        <v>201</v>
      </c>
      <c r="AK801" s="284" t="s">
        <v>811</v>
      </c>
      <c r="AL801" s="187" t="str">
        <f ca="1">Sprache!$A$111</f>
        <v>Комплект (Л + П)</v>
      </c>
      <c r="AM801" s="187" t="s">
        <v>25</v>
      </c>
      <c r="AN801" s="187" t="str">
        <f ca="1">Sprache!$A$122</f>
        <v>Силовой механизм C</v>
      </c>
      <c r="AO801" s="187" t="str">
        <f ca="1">Sprache!$A$147</f>
        <v>Адаптер под алюминиевые рамки к комплекту Kinvaro S-35</v>
      </c>
      <c r="AP801" s="187" t="s">
        <v>814</v>
      </c>
      <c r="AQ801" s="187">
        <v>450</v>
      </c>
      <c r="AR801" s="124">
        <v>1200</v>
      </c>
      <c r="AS801" s="187"/>
      <c r="AT801" s="124"/>
      <c r="AV801"/>
      <c r="AX801" s="10"/>
      <c r="AY801" s="11"/>
      <c r="AZ801" s="2"/>
      <c r="BC801"/>
    </row>
    <row r="802" spans="1:55" hidden="1" x14ac:dyDescent="0.25">
      <c r="A802" s="12" t="str">
        <f ca="1">IF(F802+G802+H802+I802+J802+D802+E802=3,IF(Tabelle2[[#This Row],[Kappe Weiß]]=Limits!$R$29,1,""),"")</f>
        <v/>
      </c>
      <c r="B802" s="282" t="str">
        <f ca="1">IF(G802+H802+I802+J802+E802+F802=2,IF(Tabelle2[[#This Row],[Kappe Weiß]]=Limits!$R$29,1,""),"")</f>
        <v/>
      </c>
      <c r="C802" s="291">
        <v>1</v>
      </c>
      <c r="D802" s="171">
        <f>IF(Limits!$P$5=TRUE,1,0)</f>
        <v>0</v>
      </c>
      <c r="E802" s="172">
        <f>IF(Daten!$P802+Daten!$Q802+Daten!$S802=3,1,0)</f>
        <v>0</v>
      </c>
      <c r="F802" s="173">
        <f ca="1">IF(AND(Limits!$Q$21=TRUE,Daten!O802=1)=TRUE,1,0)</f>
        <v>0</v>
      </c>
      <c r="G802" s="174">
        <f>IF(AND(Limits!$Q$25=TRUE,Daten!N802=1)=TRUE,1,0)</f>
        <v>0</v>
      </c>
      <c r="H802" s="174">
        <f>IF(AND(Limits!$Q$24=TRUE,Daten!M802=1)=TRUE,1,0)</f>
        <v>0</v>
      </c>
      <c r="I802" s="174">
        <f>IF(AND(Limits!$Q$23=TRUE,Daten!L802=1)=TRUE,1,0)</f>
        <v>0</v>
      </c>
      <c r="J802" s="174">
        <f>IF(AND(Limits!$Q$22=TRUE,Daten!K802=1)=TRUE,1,0)</f>
        <v>0</v>
      </c>
      <c r="K802" s="188">
        <f>IF(Daten!$V802=13,1,0)</f>
        <v>1</v>
      </c>
      <c r="L802" s="189">
        <f>IF(Daten!$V802&lt;&gt;Daten!$W802,1,IF(Daten!$V802=14,1,0))</f>
        <v>1</v>
      </c>
      <c r="M802" s="189">
        <f>IF(Daten!$V802&lt;&gt;Daten!$W802,1,IF(Daten!$V802=16,1,0))</f>
        <v>1</v>
      </c>
      <c r="N802" s="189">
        <f>IF(Daten!$W802=17,1,0)</f>
        <v>1</v>
      </c>
      <c r="O802" s="190">
        <f ca="1">IF(Daten!$X802=Sprache!$A$70,1,0)</f>
        <v>0</v>
      </c>
      <c r="P802" s="191">
        <f>IF(AND(Daten!$AQ802&lt;=KINVARO!$AW$3,Daten!$AR802&gt;=KINVARO!$AW$3)=TRUE,1,0)</f>
        <v>1</v>
      </c>
      <c r="Q802" s="192">
        <f>IF(AND(Daten!$AA802&lt;=KINVARO!$AW$4,Daten!$AB802&gt;=KINVARO!$AW$4)=TRUE,1,0)</f>
        <v>0</v>
      </c>
      <c r="R802" s="192"/>
      <c r="S802" s="192">
        <f>IF(AND(Daten!$AD802&lt;=Limits!$I$70,Daten!$AE802&gt;=Limits!$I$70)=TRUE,1,0)</f>
        <v>1</v>
      </c>
      <c r="T802" s="193">
        <f ca="1">IF(Daten!$Y802=Sprache!$A$135,1,0)</f>
        <v>0</v>
      </c>
      <c r="U802" s="124" t="str">
        <f ca="1">Sprache!$A$69</f>
        <v>S-35 Откидной подъемник</v>
      </c>
      <c r="V802" s="194">
        <v>13</v>
      </c>
      <c r="W802" s="193">
        <v>17</v>
      </c>
      <c r="X802" s="187" t="str">
        <f ca="1">Sprache!$A$142</f>
        <v>Alu (Rahmen 19mm)</v>
      </c>
      <c r="Y802" s="187" t="str">
        <f ca="1">Sprache!$A$136</f>
        <v>nein</v>
      </c>
      <c r="Z802" s="187" t="str">
        <f ca="1">Sprache!$A$79</f>
        <v>Створка</v>
      </c>
      <c r="AA802" s="187">
        <v>690</v>
      </c>
      <c r="AB802" s="124">
        <v>719</v>
      </c>
      <c r="AC802" s="187"/>
      <c r="AD802" s="195">
        <v>6.5</v>
      </c>
      <c r="AE802" s="196">
        <v>13.5</v>
      </c>
      <c r="AF802" s="263" t="str">
        <f>MID(Tabelle2[[#This Row],[bnr full]],1,4)</f>
        <v>F152</v>
      </c>
      <c r="AG802" s="264" t="str">
        <f>MID(Tabelle2[[#This Row],[bnr full]],5,3)</f>
        <v>000</v>
      </c>
      <c r="AH802" s="265" t="str">
        <f>MID(Tabelle2[[#This Row],[bnr full]],8,3)</f>
        <v>258</v>
      </c>
      <c r="AI802" s="283" t="str">
        <f>MID(Tabelle2[[#This Row],[bnr full]],11,3)</f>
        <v>201</v>
      </c>
      <c r="AJ802" s="247" t="str">
        <f>MID(Tabelle2[[#This Row],[bnr full]],11,3)</f>
        <v>201</v>
      </c>
      <c r="AK802" s="284" t="s">
        <v>812</v>
      </c>
      <c r="AL802" s="187" t="str">
        <f ca="1">Sprache!$A$111</f>
        <v>Комплект (Л + П)</v>
      </c>
      <c r="AM802" s="187" t="s">
        <v>25</v>
      </c>
      <c r="AN802" s="187" t="str">
        <f ca="1">Sprache!$A$123</f>
        <v>Силовой механизм D</v>
      </c>
      <c r="AO802" s="187" t="str">
        <f ca="1">Sprache!$A$147</f>
        <v>Адаптер под алюминиевые рамки к комплекту Kinvaro S-35</v>
      </c>
      <c r="AP802" s="187" t="s">
        <v>814</v>
      </c>
      <c r="AQ802" s="187">
        <v>450</v>
      </c>
      <c r="AR802" s="124">
        <v>1200</v>
      </c>
      <c r="AS802" s="187"/>
      <c r="AT802" s="124"/>
      <c r="AV802"/>
      <c r="AX802" s="10"/>
      <c r="AY802" s="11"/>
      <c r="AZ802" s="2"/>
      <c r="BC802"/>
    </row>
    <row r="803" spans="1:55" hidden="1" x14ac:dyDescent="0.25">
      <c r="A803" s="12" t="str">
        <f ca="1">IF(F803+G803+H803+I803+J803+D803+E803=3,IF(Tabelle2[[#This Row],[Kappe Weiß]]=Limits!$R$29,1,""),"")</f>
        <v/>
      </c>
      <c r="B803" s="282" t="str">
        <f ca="1">IF(G803+H803+I803+J803+E803+F803=2,IF(Tabelle2[[#This Row],[Kappe Weiß]]=Limits!$R$29,1,""),"")</f>
        <v/>
      </c>
      <c r="C803" s="291">
        <v>1</v>
      </c>
      <c r="D803" s="171">
        <f>IF(Limits!$P$5=TRUE,1,0)</f>
        <v>0</v>
      </c>
      <c r="E803" s="172">
        <f>IF(Daten!$P803+Daten!$Q803+Daten!$S803=3,1,0)</f>
        <v>0</v>
      </c>
      <c r="F803" s="173">
        <f ca="1">IF(AND(Limits!$Q$21=TRUE,Daten!O803=1)=TRUE,1,0)</f>
        <v>0</v>
      </c>
      <c r="G803" s="174">
        <f>IF(AND(Limits!$Q$25=TRUE,Daten!N803=1)=TRUE,1,0)</f>
        <v>0</v>
      </c>
      <c r="H803" s="174">
        <f>IF(AND(Limits!$Q$24=TRUE,Daten!M803=1)=TRUE,1,0)</f>
        <v>0</v>
      </c>
      <c r="I803" s="174">
        <f>IF(AND(Limits!$Q$23=TRUE,Daten!L803=1)=TRUE,1,0)</f>
        <v>0</v>
      </c>
      <c r="J803" s="174">
        <f>IF(AND(Limits!$Q$22=TRUE,Daten!K803=1)=TRUE,1,0)</f>
        <v>0</v>
      </c>
      <c r="K803" s="188">
        <f>IF(Daten!$V803=13,1,0)</f>
        <v>1</v>
      </c>
      <c r="L803" s="189">
        <f>IF(Daten!$V803&lt;&gt;Daten!$W803,1,IF(Daten!$V803=14,1,0))</f>
        <v>1</v>
      </c>
      <c r="M803" s="189">
        <f>IF(Daten!$V803&lt;&gt;Daten!$W803,1,IF(Daten!$V803=16,1,0))</f>
        <v>1</v>
      </c>
      <c r="N803" s="189">
        <f>IF(Daten!$W803=17,1,0)</f>
        <v>1</v>
      </c>
      <c r="O803" s="190">
        <f ca="1">IF(Daten!$X803=Sprache!$A$70,1,0)</f>
        <v>0</v>
      </c>
      <c r="P803" s="191">
        <f>IF(AND(Daten!$AQ803&lt;=KINVARO!$AW$3,Daten!$AR803&gt;=KINVARO!$AW$3)=TRUE,1,0)</f>
        <v>1</v>
      </c>
      <c r="Q803" s="192">
        <f>IF(AND(Daten!$AA803&lt;=KINVARO!$AW$4,Daten!$AB803&gt;=KINVARO!$AW$4)=TRUE,1,0)</f>
        <v>0</v>
      </c>
      <c r="R803" s="192"/>
      <c r="S803" s="192">
        <f>IF(AND(Daten!$AD803&lt;=Limits!$I$70,Daten!$AE803&gt;=Limits!$I$70)=TRUE,1,0)</f>
        <v>0</v>
      </c>
      <c r="T803" s="193">
        <f ca="1">IF(Daten!$Y803=Sprache!$A$135,1,0)</f>
        <v>0</v>
      </c>
      <c r="U803" s="124" t="str">
        <f ca="1">Sprache!$A$69</f>
        <v>S-35 Откидной подъемник</v>
      </c>
      <c r="V803" s="194">
        <v>13</v>
      </c>
      <c r="W803" s="193">
        <v>17</v>
      </c>
      <c r="X803" s="187" t="str">
        <f ca="1">Sprache!$A$142</f>
        <v>Alu (Rahmen 19mm)</v>
      </c>
      <c r="Y803" s="187" t="str">
        <f ca="1">Sprache!$A$136</f>
        <v>nein</v>
      </c>
      <c r="Z803" s="187" t="str">
        <f ca="1">Sprache!$A$79</f>
        <v>Створка</v>
      </c>
      <c r="AA803" s="187">
        <v>690</v>
      </c>
      <c r="AB803" s="124">
        <v>719</v>
      </c>
      <c r="AC803" s="187"/>
      <c r="AD803" s="195">
        <v>12</v>
      </c>
      <c r="AE803" s="196">
        <v>17.5</v>
      </c>
      <c r="AF803" s="263" t="str">
        <f>MID(Tabelle2[[#This Row],[bnr full]],1,4)</f>
        <v>F152</v>
      </c>
      <c r="AG803" s="264" t="str">
        <f>MID(Tabelle2[[#This Row],[bnr full]],5,3)</f>
        <v>000</v>
      </c>
      <c r="AH803" s="265" t="str">
        <f>MID(Tabelle2[[#This Row],[bnr full]],8,3)</f>
        <v>259</v>
      </c>
      <c r="AI803" s="283" t="str">
        <f>MID(Tabelle2[[#This Row],[bnr full]],11,3)</f>
        <v>201</v>
      </c>
      <c r="AJ803" s="247" t="str">
        <f>MID(Tabelle2[[#This Row],[bnr full]],11,3)</f>
        <v>201</v>
      </c>
      <c r="AK803" s="284" t="s">
        <v>813</v>
      </c>
      <c r="AL803" s="187" t="str">
        <f ca="1">Sprache!$A$111</f>
        <v>Комплект (Л + П)</v>
      </c>
      <c r="AM803" s="187" t="s">
        <v>25</v>
      </c>
      <c r="AN803" s="187" t="str">
        <f ca="1">Sprache!$A$124</f>
        <v>Силовой механизм E</v>
      </c>
      <c r="AO803" s="187" t="str">
        <f ca="1">Sprache!$A$147</f>
        <v>Адаптер под алюминиевые рамки к комплекту Kinvaro S-35</v>
      </c>
      <c r="AP803" s="187" t="s">
        <v>814</v>
      </c>
      <c r="AQ803" s="187">
        <v>450</v>
      </c>
      <c r="AR803" s="124">
        <v>1200</v>
      </c>
      <c r="AS803" s="187"/>
      <c r="AT803" s="124"/>
      <c r="AV803"/>
      <c r="AX803" s="10"/>
      <c r="AY803" s="11"/>
      <c r="AZ803" s="2"/>
      <c r="BC803"/>
    </row>
    <row r="804" spans="1:55" hidden="1" x14ac:dyDescent="0.25">
      <c r="A804" s="12" t="str">
        <f ca="1">IF(F804+G804+H804+I804+J804+D804+E804=3,IF(Tabelle2[[#This Row],[Kappe Weiß]]=Limits!$R$29,1,""),"")</f>
        <v/>
      </c>
      <c r="B804" s="282" t="str">
        <f ca="1">IF(G804+H804+I804+J804+E804+F804=2,IF(Tabelle2[[#This Row],[Kappe Weiß]]=Limits!$R$29,1,""),"")</f>
        <v/>
      </c>
      <c r="C804" s="292">
        <v>1</v>
      </c>
      <c r="D804" s="171">
        <f>IF(Limits!$P$5=TRUE,1,0)</f>
        <v>0</v>
      </c>
      <c r="E804" s="172">
        <f>IF(Daten!$P804+Daten!$Q804+Daten!$S804=3,1,0)</f>
        <v>0</v>
      </c>
      <c r="F804" s="173">
        <f ca="1">IF(AND(Limits!$Q$21=TRUE,Daten!O804=1)=TRUE,1,0)</f>
        <v>1</v>
      </c>
      <c r="G804" s="174">
        <f ca="1">IF(AND(Limits!$Q$25=TRUE,Daten!N804=1)=TRUE,1,0)</f>
        <v>0</v>
      </c>
      <c r="H804" s="174">
        <f ca="1">IF(AND(Limits!$Q$24=TRUE,Daten!M804=1)=TRUE,1,0)</f>
        <v>0</v>
      </c>
      <c r="I804" s="174">
        <f ca="1">IF(AND(Limits!$Q$23=TRUE,Daten!L804=1)=TRUE,1,0)</f>
        <v>0</v>
      </c>
      <c r="J804" s="174">
        <f ca="1">IF(AND(Limits!$Q$22=TRUE,Daten!K804=1)=TRUE,1,0)</f>
        <v>0</v>
      </c>
      <c r="K804" s="188">
        <f ca="1">IF(Daten!$V804=13,1,0)</f>
        <v>0</v>
      </c>
      <c r="L804" s="189">
        <f ca="1">IF(Daten!$V804&lt;&gt;Daten!$W804,1,IF(Daten!$V804=14,1,0))</f>
        <v>0</v>
      </c>
      <c r="M804" s="189">
        <f ca="1">IF(Daten!$V804&lt;&gt;Daten!$W804,1,IF(Daten!$V804=16,1,0))</f>
        <v>0</v>
      </c>
      <c r="N804" s="189">
        <f ca="1">IF(Daten!$W804=17,1,0)</f>
        <v>0</v>
      </c>
      <c r="O804" s="190">
        <f ca="1">IF(Daten!$X804=Sprache!$A$70,1,0)</f>
        <v>1</v>
      </c>
      <c r="P804" s="198">
        <f>IF(AND(Daten!$AQ804&lt;=KINVARO!$AW$3,Daten!$AR804&gt;=KINVARO!$AW$3)=TRUE,1,0)</f>
        <v>1</v>
      </c>
      <c r="Q804" s="199">
        <f>IF(AND(Daten!$AA804&lt;=KINVARO!$AW$4,Daten!$AB804&gt;=KINVARO!$AW$4)=TRUE,1,0)</f>
        <v>0</v>
      </c>
      <c r="R804" s="199"/>
      <c r="S804" s="199">
        <f>IF(AND(Daten!$AD804&lt;=Limits!$I$70,Daten!$AE804&gt;=Limits!$I$70)=TRUE,1,0)</f>
        <v>0</v>
      </c>
      <c r="T804" s="200">
        <f ca="1">IF(Daten!$Y804=Sprache!$A$135,1,0)</f>
        <v>0</v>
      </c>
      <c r="U804" s="201" t="str">
        <f ca="1">Sprache!$A$69</f>
        <v>S-35 Откидной подъемник</v>
      </c>
      <c r="V804" s="194" t="str">
        <f ca="1">Sprache!$A$74</f>
        <v>var</v>
      </c>
      <c r="W804" s="200" t="str">
        <f ca="1">Sprache!$A$74</f>
        <v>var</v>
      </c>
      <c r="X804" s="187" t="str">
        <f ca="1">Sprache!$A$70</f>
        <v>соединение с древесиной</v>
      </c>
      <c r="Y804" s="187" t="str">
        <f ca="1">Sprache!$A$136</f>
        <v>nein</v>
      </c>
      <c r="Z804" s="187" t="str">
        <f ca="1">Sprache!$A$79</f>
        <v>Створка</v>
      </c>
      <c r="AA804" s="187">
        <v>720</v>
      </c>
      <c r="AB804" s="201">
        <v>750</v>
      </c>
      <c r="AC804" s="187"/>
      <c r="AD804" s="195">
        <v>4</v>
      </c>
      <c r="AE804" s="205">
        <v>8</v>
      </c>
      <c r="AF804" s="263" t="str">
        <f>MID(Tabelle2[[#This Row],[bnr full]],1,4)</f>
        <v>F152</v>
      </c>
      <c r="AG804" s="267" t="str">
        <f>MID(Tabelle2[[#This Row],[bnr full]],5,3)</f>
        <v>000</v>
      </c>
      <c r="AH804" s="268" t="str">
        <f>MID(Tabelle2[[#This Row],[bnr full]],8,3)</f>
        <v>257</v>
      </c>
      <c r="AI804" s="286" t="str">
        <f>MID(Tabelle2[[#This Row],[bnr full]],11,3)</f>
        <v>201</v>
      </c>
      <c r="AJ804" s="248" t="str">
        <f>MID(Tabelle2[[#This Row],[bnr full]],11,3)</f>
        <v>201</v>
      </c>
      <c r="AK804" s="284" t="s">
        <v>811</v>
      </c>
      <c r="AL804" s="187" t="str">
        <f ca="1">Sprache!$A$111</f>
        <v>Комплект (Л + П)</v>
      </c>
      <c r="AM804" s="187" t="s">
        <v>25</v>
      </c>
      <c r="AN804" s="187" t="str">
        <f ca="1">Sprache!$A$122</f>
        <v>Силовой механизм C</v>
      </c>
      <c r="AO804" s="187" t="s">
        <v>25</v>
      </c>
      <c r="AP804" s="187" t="s">
        <v>25</v>
      </c>
      <c r="AQ804" s="187">
        <v>450</v>
      </c>
      <c r="AR804" s="201">
        <v>1200</v>
      </c>
      <c r="AS804" s="187"/>
      <c r="AT804" s="124"/>
      <c r="AV804"/>
      <c r="AX804" s="10"/>
      <c r="AY804" s="11"/>
      <c r="AZ804" s="2"/>
      <c r="BC804"/>
    </row>
    <row r="805" spans="1:55" hidden="1" x14ac:dyDescent="0.25">
      <c r="A805" s="12" t="str">
        <f ca="1">IF(F805+G805+H805+I805+J805+D805+E805=3,IF(Tabelle2[[#This Row],[Kappe Weiß]]=Limits!$R$29,1,""),"")</f>
        <v/>
      </c>
      <c r="B805" s="282" t="str">
        <f ca="1">IF(G805+H805+I805+J805+E805+F805=2,IF(Tabelle2[[#This Row],[Kappe Weiß]]=Limits!$R$29,1,""),"")</f>
        <v/>
      </c>
      <c r="C805" s="291">
        <v>1</v>
      </c>
      <c r="D805" s="171">
        <f>IF(Limits!$P$5=TRUE,1,0)</f>
        <v>0</v>
      </c>
      <c r="E805" s="172">
        <f>IF(Daten!$P805+Daten!$Q805+Daten!$S805=3,1,0)</f>
        <v>0</v>
      </c>
      <c r="F805" s="173">
        <f ca="1">IF(AND(Limits!$Q$21=TRUE,Daten!O805=1)=TRUE,1,0)</f>
        <v>1</v>
      </c>
      <c r="G805" s="174">
        <f ca="1">IF(AND(Limits!$Q$25=TRUE,Daten!N805=1)=TRUE,1,0)</f>
        <v>0</v>
      </c>
      <c r="H805" s="174">
        <f ca="1">IF(AND(Limits!$Q$24=TRUE,Daten!M805=1)=TRUE,1,0)</f>
        <v>0</v>
      </c>
      <c r="I805" s="174">
        <f ca="1">IF(AND(Limits!$Q$23=TRUE,Daten!L805=1)=TRUE,1,0)</f>
        <v>0</v>
      </c>
      <c r="J805" s="174">
        <f ca="1">IF(AND(Limits!$Q$22=TRUE,Daten!K805=1)=TRUE,1,0)</f>
        <v>0</v>
      </c>
      <c r="K805" s="188">
        <f ca="1">IF(Daten!$V805=13,1,0)</f>
        <v>0</v>
      </c>
      <c r="L805" s="189">
        <f ca="1">IF(Daten!$V805&lt;&gt;Daten!$W805,1,IF(Daten!$V805=14,1,0))</f>
        <v>0</v>
      </c>
      <c r="M805" s="189">
        <f ca="1">IF(Daten!$V805&lt;&gt;Daten!$W805,1,IF(Daten!$V805=16,1,0))</f>
        <v>0</v>
      </c>
      <c r="N805" s="189">
        <f ca="1">IF(Daten!$W805=17,1,0)</f>
        <v>0</v>
      </c>
      <c r="O805" s="190">
        <f ca="1">IF(Daten!$X805=Sprache!$A$70,1,0)</f>
        <v>1</v>
      </c>
      <c r="P805" s="191">
        <f>IF(AND(Daten!$AQ805&lt;=KINVARO!$AW$3,Daten!$AR805&gt;=KINVARO!$AW$3)=TRUE,1,0)</f>
        <v>1</v>
      </c>
      <c r="Q805" s="192">
        <f>IF(AND(Daten!$AA805&lt;=KINVARO!$AW$4,Daten!$AB805&gt;=KINVARO!$AW$4)=TRUE,1,0)</f>
        <v>0</v>
      </c>
      <c r="R805" s="192"/>
      <c r="S805" s="192">
        <f>IF(AND(Daten!$AD805&lt;=Limits!$I$70,Daten!$AE805&gt;=Limits!$I$70)=TRUE,1,0)</f>
        <v>1</v>
      </c>
      <c r="T805" s="193">
        <f ca="1">IF(Daten!$Y805=Sprache!$A$135,1,0)</f>
        <v>0</v>
      </c>
      <c r="U805" s="124" t="str">
        <f ca="1">Sprache!$A$69</f>
        <v>S-35 Откидной подъемник</v>
      </c>
      <c r="V805" s="194" t="str">
        <f ca="1">Sprache!$A$74</f>
        <v>var</v>
      </c>
      <c r="W805" s="193" t="str">
        <f ca="1">Sprache!$A$74</f>
        <v>var</v>
      </c>
      <c r="X805" s="187" t="str">
        <f ca="1">Sprache!$A$70</f>
        <v>соединение с древесиной</v>
      </c>
      <c r="Y805" s="187" t="str">
        <f ca="1">Sprache!$A$136</f>
        <v>nein</v>
      </c>
      <c r="Z805" s="187" t="str">
        <f ca="1">Sprache!$A$79</f>
        <v>Створка</v>
      </c>
      <c r="AA805" s="187">
        <v>720</v>
      </c>
      <c r="AB805" s="124">
        <v>750</v>
      </c>
      <c r="AC805" s="187"/>
      <c r="AD805" s="195">
        <v>6.5</v>
      </c>
      <c r="AE805" s="196">
        <v>12.5</v>
      </c>
      <c r="AF805" s="263" t="str">
        <f>MID(Tabelle2[[#This Row],[bnr full]],1,4)</f>
        <v>F152</v>
      </c>
      <c r="AG805" s="264" t="str">
        <f>MID(Tabelle2[[#This Row],[bnr full]],5,3)</f>
        <v>000</v>
      </c>
      <c r="AH805" s="265" t="str">
        <f>MID(Tabelle2[[#This Row],[bnr full]],8,3)</f>
        <v>258</v>
      </c>
      <c r="AI805" s="283" t="str">
        <f>MID(Tabelle2[[#This Row],[bnr full]],11,3)</f>
        <v>201</v>
      </c>
      <c r="AJ805" s="247" t="str">
        <f>MID(Tabelle2[[#This Row],[bnr full]],11,3)</f>
        <v>201</v>
      </c>
      <c r="AK805" s="284" t="s">
        <v>812</v>
      </c>
      <c r="AL805" s="187" t="str">
        <f ca="1">Sprache!$A$111</f>
        <v>Комплект (Л + П)</v>
      </c>
      <c r="AM805" s="187" t="s">
        <v>25</v>
      </c>
      <c r="AN805" s="187" t="str">
        <f ca="1">Sprache!$A$123</f>
        <v>Силовой механизм D</v>
      </c>
      <c r="AO805" s="187" t="s">
        <v>25</v>
      </c>
      <c r="AP805" s="187" t="s">
        <v>25</v>
      </c>
      <c r="AQ805" s="187">
        <v>450</v>
      </c>
      <c r="AR805" s="124">
        <v>1200</v>
      </c>
      <c r="AS805" s="187"/>
      <c r="AT805" s="124"/>
      <c r="AV805"/>
      <c r="AX805" s="10"/>
      <c r="AY805" s="11"/>
      <c r="AZ805" s="2"/>
      <c r="BC805"/>
    </row>
    <row r="806" spans="1:55" hidden="1" x14ac:dyDescent="0.25">
      <c r="A806" s="12" t="str">
        <f ca="1">IF(F806+G806+H806+I806+J806+D806+E806=3,IF(Tabelle2[[#This Row],[Kappe Weiß]]=Limits!$R$29,1,""),"")</f>
        <v/>
      </c>
      <c r="B806" s="282" t="str">
        <f ca="1">IF(G806+H806+I806+J806+E806+F806=2,IF(Tabelle2[[#This Row],[Kappe Weiß]]=Limits!$R$29,1,""),"")</f>
        <v/>
      </c>
      <c r="C806" s="291">
        <v>1</v>
      </c>
      <c r="D806" s="171">
        <f>IF(Limits!$P$5=TRUE,1,0)</f>
        <v>0</v>
      </c>
      <c r="E806" s="172">
        <f>IF(Daten!$P806+Daten!$Q806+Daten!$S806=3,1,0)</f>
        <v>0</v>
      </c>
      <c r="F806" s="173">
        <f ca="1">IF(AND(Limits!$Q$21=TRUE,Daten!O806=1)=TRUE,1,0)</f>
        <v>1</v>
      </c>
      <c r="G806" s="174">
        <f ca="1">IF(AND(Limits!$Q$25=TRUE,Daten!N806=1)=TRUE,1,0)</f>
        <v>0</v>
      </c>
      <c r="H806" s="174">
        <f ca="1">IF(AND(Limits!$Q$24=TRUE,Daten!M806=1)=TRUE,1,0)</f>
        <v>0</v>
      </c>
      <c r="I806" s="174">
        <f ca="1">IF(AND(Limits!$Q$23=TRUE,Daten!L806=1)=TRUE,1,0)</f>
        <v>0</v>
      </c>
      <c r="J806" s="174">
        <f ca="1">IF(AND(Limits!$Q$22=TRUE,Daten!K806=1)=TRUE,1,0)</f>
        <v>0</v>
      </c>
      <c r="K806" s="188">
        <f ca="1">IF(Daten!$V806=13,1,0)</f>
        <v>0</v>
      </c>
      <c r="L806" s="189">
        <f ca="1">IF(Daten!$V806&lt;&gt;Daten!$W806,1,IF(Daten!$V806=14,1,0))</f>
        <v>0</v>
      </c>
      <c r="M806" s="189">
        <f ca="1">IF(Daten!$V806&lt;&gt;Daten!$W806,1,IF(Daten!$V806=16,1,0))</f>
        <v>0</v>
      </c>
      <c r="N806" s="189">
        <f ca="1">IF(Daten!$W806=17,1,0)</f>
        <v>0</v>
      </c>
      <c r="O806" s="190">
        <f ca="1">IF(Daten!$X806=Sprache!$A$70,1,0)</f>
        <v>1</v>
      </c>
      <c r="P806" s="191">
        <f>IF(AND(Daten!$AQ806&lt;=KINVARO!$AW$3,Daten!$AR806&gt;=KINVARO!$AW$3)=TRUE,1,0)</f>
        <v>1</v>
      </c>
      <c r="Q806" s="192">
        <f>IF(AND(Daten!$AA806&lt;=KINVARO!$AW$4,Daten!$AB806&gt;=KINVARO!$AW$4)=TRUE,1,0)</f>
        <v>0</v>
      </c>
      <c r="R806" s="192"/>
      <c r="S806" s="192">
        <f>IF(AND(Daten!$AD806&lt;=Limits!$I$70,Daten!$AE806&gt;=Limits!$I$70)=TRUE,1,0)</f>
        <v>0</v>
      </c>
      <c r="T806" s="193">
        <f ca="1">IF(Daten!$Y806=Sprache!$A$135,1,0)</f>
        <v>0</v>
      </c>
      <c r="U806" s="124" t="str">
        <f ca="1">Sprache!$A$69</f>
        <v>S-35 Откидной подъемник</v>
      </c>
      <c r="V806" s="194" t="str">
        <f ca="1">Sprache!$A$74</f>
        <v>var</v>
      </c>
      <c r="W806" s="193" t="str">
        <f ca="1">Sprache!$A$74</f>
        <v>var</v>
      </c>
      <c r="X806" s="187" t="str">
        <f ca="1">Sprache!$A$70</f>
        <v>соединение с древесиной</v>
      </c>
      <c r="Y806" s="187" t="str">
        <f ca="1">Sprache!$A$136</f>
        <v>nein</v>
      </c>
      <c r="Z806" s="187" t="str">
        <f ca="1">Sprache!$A$79</f>
        <v>Створка</v>
      </c>
      <c r="AA806" s="187">
        <v>720</v>
      </c>
      <c r="AB806" s="124">
        <v>750</v>
      </c>
      <c r="AC806" s="187"/>
      <c r="AD806" s="195">
        <v>10</v>
      </c>
      <c r="AE806" s="196">
        <v>17</v>
      </c>
      <c r="AF806" s="263" t="str">
        <f>MID(Tabelle2[[#This Row],[bnr full]],1,4)</f>
        <v>F152</v>
      </c>
      <c r="AG806" s="264" t="str">
        <f>MID(Tabelle2[[#This Row],[bnr full]],5,3)</f>
        <v>000</v>
      </c>
      <c r="AH806" s="265" t="str">
        <f>MID(Tabelle2[[#This Row],[bnr full]],8,3)</f>
        <v>259</v>
      </c>
      <c r="AI806" s="283" t="str">
        <f>MID(Tabelle2[[#This Row],[bnr full]],11,3)</f>
        <v>201</v>
      </c>
      <c r="AJ806" s="247" t="str">
        <f>MID(Tabelle2[[#This Row],[bnr full]],11,3)</f>
        <v>201</v>
      </c>
      <c r="AK806" s="284" t="s">
        <v>813</v>
      </c>
      <c r="AL806" s="187" t="str">
        <f ca="1">Sprache!$A$111</f>
        <v>Комплект (Л + П)</v>
      </c>
      <c r="AM806" s="187" t="s">
        <v>25</v>
      </c>
      <c r="AN806" s="187" t="str">
        <f ca="1">Sprache!$A$124</f>
        <v>Силовой механизм E</v>
      </c>
      <c r="AO806" s="187" t="s">
        <v>25</v>
      </c>
      <c r="AP806" s="187" t="s">
        <v>25</v>
      </c>
      <c r="AQ806" s="187">
        <v>450</v>
      </c>
      <c r="AR806" s="124">
        <v>1200</v>
      </c>
      <c r="AS806" s="187"/>
      <c r="AT806" s="124"/>
      <c r="AV806"/>
      <c r="AX806" s="10"/>
      <c r="AY806" s="11"/>
      <c r="AZ806" s="2"/>
      <c r="BC806"/>
    </row>
    <row r="807" spans="1:55" hidden="1" x14ac:dyDescent="0.25">
      <c r="A807" s="12" t="str">
        <f ca="1">IF(F807+G807+H807+I807+J807+D807+E807=3,IF(Tabelle2[[#This Row],[Kappe Weiß]]=Limits!$R$29,1,""),"")</f>
        <v/>
      </c>
      <c r="B807" s="282" t="str">
        <f ca="1">IF(G807+H807+I807+J807+E807+F807=2,IF(Tabelle2[[#This Row],[Kappe Weiß]]=Limits!$R$29,1,""),"")</f>
        <v/>
      </c>
      <c r="C807" s="291">
        <v>1</v>
      </c>
      <c r="D807" s="171">
        <f>IF(Limits!$P$5=TRUE,1,0)</f>
        <v>0</v>
      </c>
      <c r="E807" s="172">
        <f>IF(Daten!$P807+Daten!$Q807+Daten!$S807=3,1,0)</f>
        <v>0</v>
      </c>
      <c r="F807" s="173">
        <f ca="1">IF(AND(Limits!$Q$21=TRUE,Daten!O807=1)=TRUE,1,0)</f>
        <v>0</v>
      </c>
      <c r="G807" s="174">
        <f>IF(AND(Limits!$Q$25=TRUE,Daten!N807=1)=TRUE,1,0)</f>
        <v>0</v>
      </c>
      <c r="H807" s="174">
        <f>IF(AND(Limits!$Q$24=TRUE,Daten!M807=1)=TRUE,1,0)</f>
        <v>0</v>
      </c>
      <c r="I807" s="174">
        <f>IF(AND(Limits!$Q$23=TRUE,Daten!L807=1)=TRUE,1,0)</f>
        <v>0</v>
      </c>
      <c r="J807" s="174">
        <f>IF(AND(Limits!$Q$22=TRUE,Daten!K807=1)=TRUE,1,0)</f>
        <v>0</v>
      </c>
      <c r="K807" s="188">
        <f>IF(Daten!$V807=13,1,0)</f>
        <v>1</v>
      </c>
      <c r="L807" s="189">
        <f>IF(Daten!$V807&lt;&gt;Daten!$W807,1,IF(Daten!$V807=14,1,0))</f>
        <v>1</v>
      </c>
      <c r="M807" s="189">
        <f>IF(Daten!$V807&lt;&gt;Daten!$W807,1,IF(Daten!$V807=16,1,0))</f>
        <v>1</v>
      </c>
      <c r="N807" s="189">
        <f>IF(Daten!$W807=17,1,0)</f>
        <v>1</v>
      </c>
      <c r="O807" s="190">
        <f ca="1">IF(Daten!$X807=Sprache!$A$70,1,0)</f>
        <v>0</v>
      </c>
      <c r="P807" s="191">
        <f>IF(AND(Daten!$AQ807&lt;=KINVARO!$AW$3,Daten!$AR807&gt;=KINVARO!$AW$3)=TRUE,1,0)</f>
        <v>1</v>
      </c>
      <c r="Q807" s="192">
        <f>IF(AND(Daten!$AA807&lt;=KINVARO!$AW$4,Daten!$AB807&gt;=KINVARO!$AW$4)=TRUE,1,0)</f>
        <v>0</v>
      </c>
      <c r="R807" s="192"/>
      <c r="S807" s="192">
        <f>IF(AND(Daten!$AD807&lt;=Limits!$I$70,Daten!$AE807&gt;=Limits!$I$70)=TRUE,1,0)</f>
        <v>0</v>
      </c>
      <c r="T807" s="193">
        <f ca="1">IF(Daten!$Y807=Sprache!$A$135,1,0)</f>
        <v>0</v>
      </c>
      <c r="U807" s="124" t="str">
        <f ca="1">Sprache!$A$69</f>
        <v>S-35 Откидной подъемник</v>
      </c>
      <c r="V807" s="194">
        <v>13</v>
      </c>
      <c r="W807" s="193">
        <v>17</v>
      </c>
      <c r="X807" s="187" t="str">
        <f ca="1">Sprache!$A$142</f>
        <v>Alu (Rahmen 19mm)</v>
      </c>
      <c r="Y807" s="187" t="str">
        <f ca="1">Sprache!$A$136</f>
        <v>nein</v>
      </c>
      <c r="Z807" s="187" t="str">
        <f ca="1">Sprache!$A$79</f>
        <v>Створка</v>
      </c>
      <c r="AA807" s="187">
        <v>720</v>
      </c>
      <c r="AB807" s="124">
        <v>750</v>
      </c>
      <c r="AC807" s="187"/>
      <c r="AD807" s="195">
        <v>4</v>
      </c>
      <c r="AE807" s="196">
        <v>8</v>
      </c>
      <c r="AF807" s="263" t="str">
        <f>MID(Tabelle2[[#This Row],[bnr full]],1,4)</f>
        <v>F152</v>
      </c>
      <c r="AG807" s="264" t="str">
        <f>MID(Tabelle2[[#This Row],[bnr full]],5,3)</f>
        <v>000</v>
      </c>
      <c r="AH807" s="265" t="str">
        <f>MID(Tabelle2[[#This Row],[bnr full]],8,3)</f>
        <v>257</v>
      </c>
      <c r="AI807" s="283" t="str">
        <f>MID(Tabelle2[[#This Row],[bnr full]],11,3)</f>
        <v>201</v>
      </c>
      <c r="AJ807" s="247" t="str">
        <f>MID(Tabelle2[[#This Row],[bnr full]],11,3)</f>
        <v>201</v>
      </c>
      <c r="AK807" s="284" t="s">
        <v>811</v>
      </c>
      <c r="AL807" s="187" t="str">
        <f ca="1">Sprache!$A$111</f>
        <v>Комплект (Л + П)</v>
      </c>
      <c r="AM807" s="187" t="s">
        <v>25</v>
      </c>
      <c r="AN807" s="187" t="str">
        <f ca="1">Sprache!$A$122</f>
        <v>Силовой механизм C</v>
      </c>
      <c r="AO807" s="187" t="str">
        <f ca="1">Sprache!$A$147</f>
        <v>Адаптер под алюминиевые рамки к комплекту Kinvaro S-35</v>
      </c>
      <c r="AP807" s="187" t="s">
        <v>814</v>
      </c>
      <c r="AQ807" s="187">
        <v>450</v>
      </c>
      <c r="AR807" s="124">
        <v>1200</v>
      </c>
      <c r="AS807" s="187"/>
      <c r="AT807" s="124"/>
      <c r="AV807"/>
      <c r="AX807" s="10"/>
      <c r="AY807" s="11"/>
      <c r="AZ807" s="2"/>
      <c r="BC807"/>
    </row>
    <row r="808" spans="1:55" hidden="1" x14ac:dyDescent="0.25">
      <c r="A808" s="12" t="str">
        <f ca="1">IF(F808+G808+H808+I808+J808+D808+E808=3,IF(Tabelle2[[#This Row],[Kappe Weiß]]=Limits!$R$29,1,""),"")</f>
        <v/>
      </c>
      <c r="B808" s="282" t="str">
        <f ca="1">IF(G808+H808+I808+J808+E808+F808=2,IF(Tabelle2[[#This Row],[Kappe Weiß]]=Limits!$R$29,1,""),"")</f>
        <v/>
      </c>
      <c r="C808" s="291">
        <v>1</v>
      </c>
      <c r="D808" s="171">
        <f>IF(Limits!$P$5=TRUE,1,0)</f>
        <v>0</v>
      </c>
      <c r="E808" s="172">
        <f>IF(Daten!$P808+Daten!$Q808+Daten!$S808=3,1,0)</f>
        <v>0</v>
      </c>
      <c r="F808" s="173">
        <f ca="1">IF(AND(Limits!$Q$21=TRUE,Daten!O808=1)=TRUE,1,0)</f>
        <v>0</v>
      </c>
      <c r="G808" s="174">
        <f>IF(AND(Limits!$Q$25=TRUE,Daten!N808=1)=TRUE,1,0)</f>
        <v>0</v>
      </c>
      <c r="H808" s="174">
        <f>IF(AND(Limits!$Q$24=TRUE,Daten!M808=1)=TRUE,1,0)</f>
        <v>0</v>
      </c>
      <c r="I808" s="174">
        <f>IF(AND(Limits!$Q$23=TRUE,Daten!L808=1)=TRUE,1,0)</f>
        <v>0</v>
      </c>
      <c r="J808" s="174">
        <f>IF(AND(Limits!$Q$22=TRUE,Daten!K808=1)=TRUE,1,0)</f>
        <v>0</v>
      </c>
      <c r="K808" s="188">
        <f>IF(Daten!$V808=13,1,0)</f>
        <v>1</v>
      </c>
      <c r="L808" s="189">
        <f>IF(Daten!$V808&lt;&gt;Daten!$W808,1,IF(Daten!$V808=14,1,0))</f>
        <v>1</v>
      </c>
      <c r="M808" s="189">
        <f>IF(Daten!$V808&lt;&gt;Daten!$W808,1,IF(Daten!$V808=16,1,0))</f>
        <v>1</v>
      </c>
      <c r="N808" s="189">
        <f>IF(Daten!$W808=17,1,0)</f>
        <v>1</v>
      </c>
      <c r="O808" s="190">
        <f ca="1">IF(Daten!$X808=Sprache!$A$70,1,0)</f>
        <v>0</v>
      </c>
      <c r="P808" s="191">
        <f>IF(AND(Daten!$AQ808&lt;=KINVARO!$AW$3,Daten!$AR808&gt;=KINVARO!$AW$3)=TRUE,1,0)</f>
        <v>1</v>
      </c>
      <c r="Q808" s="192">
        <f>IF(AND(Daten!$AA808&lt;=KINVARO!$AW$4,Daten!$AB808&gt;=KINVARO!$AW$4)=TRUE,1,0)</f>
        <v>0</v>
      </c>
      <c r="R808" s="192"/>
      <c r="S808" s="192">
        <f>IF(AND(Daten!$AD808&lt;=Limits!$I$70,Daten!$AE808&gt;=Limits!$I$70)=TRUE,1,0)</f>
        <v>1</v>
      </c>
      <c r="T808" s="193">
        <f ca="1">IF(Daten!$Y808=Sprache!$A$135,1,0)</f>
        <v>0</v>
      </c>
      <c r="U808" s="124" t="str">
        <f ca="1">Sprache!$A$69</f>
        <v>S-35 Откидной подъемник</v>
      </c>
      <c r="V808" s="194">
        <v>13</v>
      </c>
      <c r="W808" s="193">
        <v>17</v>
      </c>
      <c r="X808" s="187" t="str">
        <f ca="1">Sprache!$A$142</f>
        <v>Alu (Rahmen 19mm)</v>
      </c>
      <c r="Y808" s="187" t="str">
        <f ca="1">Sprache!$A$136</f>
        <v>nein</v>
      </c>
      <c r="Z808" s="187" t="str">
        <f ca="1">Sprache!$A$79</f>
        <v>Створка</v>
      </c>
      <c r="AA808" s="187">
        <v>720</v>
      </c>
      <c r="AB808" s="124">
        <v>750</v>
      </c>
      <c r="AC808" s="187"/>
      <c r="AD808" s="195">
        <v>6.5</v>
      </c>
      <c r="AE808" s="196">
        <v>12.5</v>
      </c>
      <c r="AF808" s="263" t="str">
        <f>MID(Tabelle2[[#This Row],[bnr full]],1,4)</f>
        <v>F152</v>
      </c>
      <c r="AG808" s="264" t="str">
        <f>MID(Tabelle2[[#This Row],[bnr full]],5,3)</f>
        <v>000</v>
      </c>
      <c r="AH808" s="265" t="str">
        <f>MID(Tabelle2[[#This Row],[bnr full]],8,3)</f>
        <v>258</v>
      </c>
      <c r="AI808" s="283" t="str">
        <f>MID(Tabelle2[[#This Row],[bnr full]],11,3)</f>
        <v>201</v>
      </c>
      <c r="AJ808" s="247" t="str">
        <f>MID(Tabelle2[[#This Row],[bnr full]],11,3)</f>
        <v>201</v>
      </c>
      <c r="AK808" s="284" t="s">
        <v>812</v>
      </c>
      <c r="AL808" s="187" t="str">
        <f ca="1">Sprache!$A$111</f>
        <v>Комплект (Л + П)</v>
      </c>
      <c r="AM808" s="187" t="s">
        <v>25</v>
      </c>
      <c r="AN808" s="187" t="str">
        <f ca="1">Sprache!$A$123</f>
        <v>Силовой механизм D</v>
      </c>
      <c r="AO808" s="187" t="str">
        <f ca="1">Sprache!$A$147</f>
        <v>Адаптер под алюминиевые рамки к комплекту Kinvaro S-35</v>
      </c>
      <c r="AP808" s="187" t="s">
        <v>814</v>
      </c>
      <c r="AQ808" s="187">
        <v>450</v>
      </c>
      <c r="AR808" s="124">
        <v>1200</v>
      </c>
      <c r="AS808" s="187"/>
      <c r="AT808" s="124"/>
      <c r="AV808"/>
      <c r="AX808" s="10"/>
      <c r="AY808" s="11"/>
      <c r="AZ808" s="2"/>
      <c r="BC808"/>
    </row>
    <row r="809" spans="1:55" hidden="1" x14ac:dyDescent="0.25">
      <c r="A809" s="54" t="str">
        <f ca="1">IF(F809+G809+H809+I809+J809+D809+E809=3,IF(Tabelle2[[#This Row],[Kappe Weiß]]=Limits!$R$29,1,""),"")</f>
        <v/>
      </c>
      <c r="B809" s="287" t="str">
        <f ca="1">IF(G809+H809+I809+J809+E809+F809=2,IF(Tabelle2[[#This Row],[Kappe Weiß]]=Limits!$R$29,1,""),"")</f>
        <v/>
      </c>
      <c r="C809" s="291">
        <v>1</v>
      </c>
      <c r="D809" s="171">
        <f>IF(Limits!$P$5=TRUE,1,0)</f>
        <v>0</v>
      </c>
      <c r="E809" s="172">
        <f>IF(Daten!$P809+Daten!$Q809+Daten!$S809=3,1,0)</f>
        <v>0</v>
      </c>
      <c r="F809" s="173">
        <f ca="1">IF(AND(Limits!$Q$21=TRUE,Daten!O809=1)=TRUE,1,0)</f>
        <v>0</v>
      </c>
      <c r="G809" s="288">
        <f>IF(AND(Limits!$Q$25=TRUE,Daten!N809=1)=TRUE,1,0)</f>
        <v>0</v>
      </c>
      <c r="H809" s="288">
        <f>IF(AND(Limits!$Q$24=TRUE,Daten!M809=1)=TRUE,1,0)</f>
        <v>0</v>
      </c>
      <c r="I809" s="288">
        <f>IF(AND(Limits!$Q$23=TRUE,Daten!L809=1)=TRUE,1,0)</f>
        <v>0</v>
      </c>
      <c r="J809" s="288">
        <f>IF(AND(Limits!$Q$22=TRUE,Daten!K809=1)=TRUE,1,0)</f>
        <v>0</v>
      </c>
      <c r="K809" s="188">
        <f>IF(Daten!$V809=13,1,0)</f>
        <v>1</v>
      </c>
      <c r="L809" s="189">
        <f>IF(Daten!$V809&lt;&gt;Daten!$W809,1,IF(Daten!$V809=14,1,0))</f>
        <v>1</v>
      </c>
      <c r="M809" s="189">
        <f>IF(Daten!$V809&lt;&gt;Daten!$W809,1,IF(Daten!$V809=16,1,0))</f>
        <v>1</v>
      </c>
      <c r="N809" s="189">
        <f>IF(Daten!$W809=17,1,0)</f>
        <v>1</v>
      </c>
      <c r="O809" s="190">
        <f ca="1">IF(Daten!$X809=Sprache!$A$70,1,0)</f>
        <v>0</v>
      </c>
      <c r="P809" s="191">
        <f>IF(AND(Daten!$AQ809&lt;=KINVARO!$AW$3,Daten!$AR809&gt;=KINVARO!$AW$3)=TRUE,1,0)</f>
        <v>1</v>
      </c>
      <c r="Q809" s="192">
        <f>IF(AND(Daten!$AA809&lt;=KINVARO!$AW$4,Daten!$AB809&gt;=KINVARO!$AW$4)=TRUE,1,0)</f>
        <v>0</v>
      </c>
      <c r="R809" s="192"/>
      <c r="S809" s="192">
        <f>IF(AND(Daten!$AD809&lt;=Limits!$I$70,Daten!$AE809&gt;=Limits!$I$70)=TRUE,1,0)</f>
        <v>0</v>
      </c>
      <c r="T809" s="193">
        <f ca="1">IF(Daten!$Y809=Sprache!$A$135,1,0)</f>
        <v>0</v>
      </c>
      <c r="U809" s="124" t="str">
        <f ca="1">Sprache!$A$69</f>
        <v>S-35 Откидной подъемник</v>
      </c>
      <c r="V809" s="194">
        <v>13</v>
      </c>
      <c r="W809" s="193">
        <v>17</v>
      </c>
      <c r="X809" s="187" t="str">
        <f ca="1">Sprache!$A$142</f>
        <v>Alu (Rahmen 19mm)</v>
      </c>
      <c r="Y809" s="187" t="str">
        <f ca="1">Sprache!$A$136</f>
        <v>nein</v>
      </c>
      <c r="Z809" s="187" t="str">
        <f ca="1">Sprache!$A$79</f>
        <v>Створка</v>
      </c>
      <c r="AA809" s="187">
        <v>720</v>
      </c>
      <c r="AB809" s="124">
        <v>750</v>
      </c>
      <c r="AC809" s="187"/>
      <c r="AD809" s="195">
        <v>10</v>
      </c>
      <c r="AE809" s="196">
        <v>17</v>
      </c>
      <c r="AF809" s="263" t="str">
        <f>MID(Tabelle2[[#This Row],[bnr full]],1,4)</f>
        <v>F152</v>
      </c>
      <c r="AG809" s="264" t="str">
        <f>MID(Tabelle2[[#This Row],[bnr full]],5,3)</f>
        <v>000</v>
      </c>
      <c r="AH809" s="265" t="str">
        <f>MID(Tabelle2[[#This Row],[bnr full]],8,3)</f>
        <v>259</v>
      </c>
      <c r="AI809" s="283" t="str">
        <f>MID(Tabelle2[[#This Row],[bnr full]],11,3)</f>
        <v>201</v>
      </c>
      <c r="AJ809" s="247" t="str">
        <f>MID(Tabelle2[[#This Row],[bnr full]],11,3)</f>
        <v>201</v>
      </c>
      <c r="AK809" s="284" t="s">
        <v>813</v>
      </c>
      <c r="AL809" s="187" t="str">
        <f ca="1">Sprache!$A$111</f>
        <v>Комплект (Л + П)</v>
      </c>
      <c r="AM809" s="187" t="s">
        <v>25</v>
      </c>
      <c r="AN809" s="187" t="str">
        <f ca="1">Sprache!$A$124</f>
        <v>Силовой механизм E</v>
      </c>
      <c r="AO809" s="187" t="str">
        <f ca="1">Sprache!$A$147</f>
        <v>Адаптер под алюминиевые рамки к комплекту Kinvaro S-35</v>
      </c>
      <c r="AP809" s="187" t="s">
        <v>814</v>
      </c>
      <c r="AQ809" s="187">
        <v>450</v>
      </c>
      <c r="AR809" s="124">
        <v>1200</v>
      </c>
      <c r="AS809" s="187"/>
      <c r="AT809" s="124"/>
      <c r="AV809"/>
      <c r="AX809" s="10"/>
      <c r="AY809" s="11"/>
      <c r="AZ809" s="2"/>
      <c r="BC809"/>
    </row>
    <row r="810" spans="1:55" x14ac:dyDescent="0.25">
      <c r="A810" s="52" t="s">
        <v>198</v>
      </c>
    </row>
    <row r="812" spans="1:55" x14ac:dyDescent="0.25">
      <c r="A812">
        <f ca="1">SUM(A2:A741)</f>
        <v>2</v>
      </c>
      <c r="B812">
        <f ca="1">SUM(B2:B741)</f>
        <v>2</v>
      </c>
      <c r="D812" s="28" t="s">
        <v>169</v>
      </c>
      <c r="E812" s="20">
        <f>SUM(E2:E809)</f>
        <v>8</v>
      </c>
      <c r="F812" s="71" t="s">
        <v>171</v>
      </c>
      <c r="X812" s="4"/>
      <c r="AA812" s="4"/>
      <c r="AD812" s="4"/>
      <c r="AE812" s="4"/>
      <c r="AF812" s="21"/>
      <c r="AG812" s="281"/>
      <c r="AL812" s="170"/>
      <c r="AM812" s="1"/>
      <c r="AN812" s="1"/>
      <c r="AO812" s="4"/>
      <c r="AP812"/>
      <c r="AQ812"/>
      <c r="AR812" s="10"/>
      <c r="AS812" s="14"/>
      <c r="AU812" s="4"/>
    </row>
  </sheetData>
  <pageMargins left="0.7" right="0.7" top="0.78740157499999996" bottom="0.78740157499999996" header="0.3" footer="0.3"/>
  <pageSetup paperSize="9" orientation="portrait" horizontalDpi="0" verticalDpi="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H52"/>
  <sheetViews>
    <sheetView topLeftCell="E1" workbookViewId="0">
      <selection activeCell="G5" sqref="G5"/>
    </sheetView>
  </sheetViews>
  <sheetFormatPr defaultColWidth="11.42578125" defaultRowHeight="15" x14ac:dyDescent="0.25"/>
  <cols>
    <col min="1" max="1" width="14.28515625" customWidth="1"/>
    <col min="2" max="2" width="5.140625" style="302" customWidth="1"/>
    <col min="3" max="3" width="4.42578125" style="300" customWidth="1"/>
    <col min="4" max="4" width="5.140625" style="301" customWidth="1"/>
    <col min="5" max="5" width="15.7109375" customWidth="1"/>
    <col min="6" max="6" width="6.85546875" customWidth="1"/>
    <col min="7" max="7" width="138.7109375" bestFit="1" customWidth="1"/>
    <col min="8" max="8" width="57.5703125" bestFit="1" customWidth="1"/>
  </cols>
  <sheetData>
    <row r="1" spans="1:8" x14ac:dyDescent="0.25">
      <c r="A1" t="s">
        <v>1675</v>
      </c>
      <c r="B1" s="302" t="s">
        <v>1735</v>
      </c>
      <c r="C1" s="300" t="s">
        <v>1736</v>
      </c>
      <c r="D1" s="301" t="s">
        <v>1737</v>
      </c>
      <c r="E1" s="331" t="s">
        <v>1676</v>
      </c>
      <c r="F1" s="331" t="s">
        <v>1677</v>
      </c>
      <c r="G1" s="331" t="s">
        <v>1534</v>
      </c>
      <c r="H1" s="331" t="s">
        <v>1678</v>
      </c>
    </row>
    <row r="2" spans="1:8" x14ac:dyDescent="0.25">
      <c r="A2" t="s">
        <v>804</v>
      </c>
      <c r="B2" s="302" t="str">
        <f>LEFT(Tabelle1[[#This Row],[Set Nr]],4)</f>
        <v>F151</v>
      </c>
      <c r="C2" s="300" t="str">
        <f>MID(Tabelle1[[#This Row],[Set Nr]],5,3)</f>
        <v>147</v>
      </c>
      <c r="D2" s="301" t="str">
        <f>MID(Tabelle1[[#This Row],[Set Nr]],8,3)</f>
        <v>682</v>
      </c>
      <c r="E2" t="s">
        <v>1679</v>
      </c>
      <c r="F2">
        <v>10</v>
      </c>
      <c r="G2">
        <f ca="1">Sprache!A164</f>
        <v>0</v>
      </c>
    </row>
    <row r="3" spans="1:8" x14ac:dyDescent="0.25">
      <c r="A3" t="s">
        <v>804</v>
      </c>
      <c r="B3" s="302" t="str">
        <f>LEFT(Tabelle1[[#This Row],[Set Nr]],4)</f>
        <v>F151</v>
      </c>
      <c r="C3" s="300" t="str">
        <f>MID(Tabelle1[[#This Row],[Set Nr]],5,3)</f>
        <v>147</v>
      </c>
      <c r="D3" s="301" t="str">
        <f>MID(Tabelle1[[#This Row],[Set Nr]],8,3)</f>
        <v>682</v>
      </c>
      <c r="E3" t="s">
        <v>805</v>
      </c>
      <c r="F3">
        <v>10</v>
      </c>
      <c r="G3" s="117">
        <f ca="1">Sprache!A165</f>
        <v>0</v>
      </c>
    </row>
    <row r="4" spans="1:8" x14ac:dyDescent="0.25">
      <c r="A4" t="s">
        <v>805</v>
      </c>
      <c r="B4" s="302" t="str">
        <f>LEFT(Tabelle1[[#This Row],[Set Nr]],4)</f>
        <v>F151</v>
      </c>
      <c r="C4" s="300" t="str">
        <f>MID(Tabelle1[[#This Row],[Set Nr]],5,3)</f>
        <v>147</v>
      </c>
      <c r="D4" s="301" t="str">
        <f>MID(Tabelle1[[#This Row],[Set Nr]],8,3)</f>
        <v>678</v>
      </c>
      <c r="E4" t="s">
        <v>1682</v>
      </c>
      <c r="F4">
        <v>10</v>
      </c>
      <c r="G4" s="117">
        <f ca="1">Sprache!A166</f>
        <v>0</v>
      </c>
    </row>
    <row r="5" spans="1:8" x14ac:dyDescent="0.25">
      <c r="A5" t="s">
        <v>804</v>
      </c>
      <c r="B5" s="302" t="str">
        <f>LEFT(Tabelle1[[#This Row],[Set Nr]],4)</f>
        <v>F151</v>
      </c>
      <c r="C5" s="300" t="str">
        <f>MID(Tabelle1[[#This Row],[Set Nr]],5,3)</f>
        <v>147</v>
      </c>
      <c r="D5" s="301" t="str">
        <f>MID(Tabelle1[[#This Row],[Set Nr]],8,3)</f>
        <v>682</v>
      </c>
      <c r="E5" t="s">
        <v>805</v>
      </c>
      <c r="F5">
        <v>10</v>
      </c>
      <c r="G5" s="117">
        <f ca="1">Sprache!A167</f>
        <v>0</v>
      </c>
    </row>
    <row r="6" spans="1:8" x14ac:dyDescent="0.25">
      <c r="A6" t="s">
        <v>806</v>
      </c>
      <c r="B6" s="302" t="str">
        <f>LEFT(Tabelle1[[#This Row],[Set Nr]],4)</f>
        <v>F151</v>
      </c>
      <c r="C6" s="300" t="str">
        <f>MID(Tabelle1[[#This Row],[Set Nr]],5,3)</f>
        <v>147</v>
      </c>
      <c r="D6" s="301" t="str">
        <f>MID(Tabelle1[[#This Row],[Set Nr]],8,3)</f>
        <v>679</v>
      </c>
      <c r="E6" t="s">
        <v>1684</v>
      </c>
      <c r="F6">
        <v>10</v>
      </c>
      <c r="G6" s="117">
        <f ca="1">Sprache!A168</f>
        <v>0</v>
      </c>
    </row>
    <row r="7" spans="1:8" x14ac:dyDescent="0.25">
      <c r="A7" t="s">
        <v>806</v>
      </c>
      <c r="B7" s="302" t="str">
        <f>LEFT(Tabelle1[[#This Row],[Set Nr]],4)</f>
        <v>F151</v>
      </c>
      <c r="C7" s="300" t="str">
        <f>MID(Tabelle1[[#This Row],[Set Nr]],5,3)</f>
        <v>147</v>
      </c>
      <c r="D7" s="301" t="str">
        <f>MID(Tabelle1[[#This Row],[Set Nr]],8,3)</f>
        <v>679</v>
      </c>
      <c r="E7" t="s">
        <v>805</v>
      </c>
      <c r="F7">
        <v>10</v>
      </c>
      <c r="G7" s="117">
        <f ca="1">Sprache!A169</f>
        <v>0</v>
      </c>
    </row>
    <row r="8" spans="1:8" x14ac:dyDescent="0.25">
      <c r="A8" t="s">
        <v>807</v>
      </c>
      <c r="B8" s="302" t="str">
        <f>LEFT(Tabelle1[[#This Row],[Set Nr]],4)</f>
        <v>F151</v>
      </c>
      <c r="C8" s="300" t="str">
        <f>MID(Tabelle1[[#This Row],[Set Nr]],5,3)</f>
        <v>147</v>
      </c>
      <c r="D8" s="301" t="str">
        <f>MID(Tabelle1[[#This Row],[Set Nr]],8,3)</f>
        <v>680</v>
      </c>
      <c r="E8" t="s">
        <v>1686</v>
      </c>
      <c r="F8">
        <v>10</v>
      </c>
      <c r="G8" s="117">
        <f ca="1">Sprache!A170</f>
        <v>0</v>
      </c>
    </row>
    <row r="9" spans="1:8" x14ac:dyDescent="0.25">
      <c r="A9" t="s">
        <v>807</v>
      </c>
      <c r="B9" s="302" t="str">
        <f>LEFT(Tabelle1[[#This Row],[Set Nr]],4)</f>
        <v>F151</v>
      </c>
      <c r="C9" s="300" t="str">
        <f>MID(Tabelle1[[#This Row],[Set Nr]],5,3)</f>
        <v>147</v>
      </c>
      <c r="D9" s="301" t="str">
        <f>MID(Tabelle1[[#This Row],[Set Nr]],8,3)</f>
        <v>680</v>
      </c>
      <c r="E9" t="s">
        <v>805</v>
      </c>
      <c r="F9">
        <v>10</v>
      </c>
      <c r="G9" s="117">
        <f ca="1">Sprache!A171</f>
        <v>0</v>
      </c>
    </row>
    <row r="10" spans="1:8" x14ac:dyDescent="0.25">
      <c r="A10" t="s">
        <v>808</v>
      </c>
      <c r="B10" s="302" t="str">
        <f>LEFT(Tabelle1[[#This Row],[Set Nr]],4)</f>
        <v>F151</v>
      </c>
      <c r="C10" s="300" t="str">
        <f>MID(Tabelle1[[#This Row],[Set Nr]],5,3)</f>
        <v>147</v>
      </c>
      <c r="D10" s="301" t="str">
        <f>MID(Tabelle1[[#This Row],[Set Nr]],8,3)</f>
        <v>681</v>
      </c>
      <c r="E10" t="s">
        <v>1688</v>
      </c>
      <c r="F10">
        <v>10</v>
      </c>
      <c r="G10" s="117">
        <f ca="1">Sprache!A172</f>
        <v>0</v>
      </c>
    </row>
    <row r="11" spans="1:8" x14ac:dyDescent="0.25">
      <c r="A11" t="s">
        <v>808</v>
      </c>
      <c r="B11" s="302" t="str">
        <f>LEFT(Tabelle1[[#This Row],[Set Nr]],4)</f>
        <v>F151</v>
      </c>
      <c r="C11" s="300" t="str">
        <f>MID(Tabelle1[[#This Row],[Set Nr]],5,3)</f>
        <v>147</v>
      </c>
      <c r="D11" s="301" t="str">
        <f>MID(Tabelle1[[#This Row],[Set Nr]],8,3)</f>
        <v>681</v>
      </c>
      <c r="E11" t="s">
        <v>805</v>
      </c>
      <c r="F11">
        <v>10</v>
      </c>
      <c r="G11" s="117">
        <f ca="1">Sprache!A173</f>
        <v>0</v>
      </c>
    </row>
    <row r="12" spans="1:8" x14ac:dyDescent="0.25">
      <c r="A12" t="s">
        <v>803</v>
      </c>
      <c r="B12" s="302" t="str">
        <f>LEFT(Tabelle1[[#This Row],[Set Nr]],4)</f>
        <v>F151</v>
      </c>
      <c r="C12" s="300" t="str">
        <f>MID(Tabelle1[[#This Row],[Set Nr]],5,3)</f>
        <v>147</v>
      </c>
      <c r="D12" s="301" t="str">
        <f>MID(Tabelle1[[#This Row],[Set Nr]],8,3)</f>
        <v>691</v>
      </c>
      <c r="E12" t="s">
        <v>1690</v>
      </c>
      <c r="F12">
        <v>10</v>
      </c>
      <c r="G12" s="117">
        <f ca="1">Sprache!A174</f>
        <v>0</v>
      </c>
    </row>
    <row r="13" spans="1:8" x14ac:dyDescent="0.25">
      <c r="A13" t="s">
        <v>803</v>
      </c>
      <c r="B13" s="302" t="str">
        <f>LEFT(Tabelle1[[#This Row],[Set Nr]],4)</f>
        <v>F151</v>
      </c>
      <c r="C13" s="300" t="str">
        <f>MID(Tabelle1[[#This Row],[Set Nr]],5,3)</f>
        <v>147</v>
      </c>
      <c r="D13" s="301" t="str">
        <f>MID(Tabelle1[[#This Row],[Set Nr]],8,3)</f>
        <v>691</v>
      </c>
      <c r="E13" t="s">
        <v>1692</v>
      </c>
      <c r="F13">
        <v>10</v>
      </c>
      <c r="G13" s="117">
        <f ca="1">Sprache!A175</f>
        <v>0</v>
      </c>
    </row>
    <row r="14" spans="1:8" x14ac:dyDescent="0.25">
      <c r="A14" t="s">
        <v>800</v>
      </c>
      <c r="B14" s="302" t="str">
        <f>LEFT(Tabelle1[[#This Row],[Set Nr]],4)</f>
        <v>F151</v>
      </c>
      <c r="C14" s="300" t="str">
        <f>MID(Tabelle1[[#This Row],[Set Nr]],5,3)</f>
        <v>147</v>
      </c>
      <c r="D14" s="301" t="str">
        <f>MID(Tabelle1[[#This Row],[Set Nr]],8,3)</f>
        <v>688</v>
      </c>
      <c r="E14" t="s">
        <v>1694</v>
      </c>
      <c r="F14">
        <v>10</v>
      </c>
      <c r="G14" s="117">
        <f ca="1">Sprache!A176</f>
        <v>0</v>
      </c>
    </row>
    <row r="15" spans="1:8" x14ac:dyDescent="0.25">
      <c r="A15" t="s">
        <v>800</v>
      </c>
      <c r="B15" s="302" t="str">
        <f>LEFT(Tabelle1[[#This Row],[Set Nr]],4)</f>
        <v>F151</v>
      </c>
      <c r="C15" s="300" t="str">
        <f>MID(Tabelle1[[#This Row],[Set Nr]],5,3)</f>
        <v>147</v>
      </c>
      <c r="D15" s="301" t="str">
        <f>MID(Tabelle1[[#This Row],[Set Nr]],8,3)</f>
        <v>688</v>
      </c>
      <c r="E15" t="s">
        <v>1692</v>
      </c>
      <c r="F15">
        <v>10</v>
      </c>
      <c r="G15" s="117">
        <f ca="1">Sprache!A177</f>
        <v>0</v>
      </c>
    </row>
    <row r="16" spans="1:8" x14ac:dyDescent="0.25">
      <c r="A16" t="s">
        <v>801</v>
      </c>
      <c r="B16" s="302" t="str">
        <f>LEFT(Tabelle1[[#This Row],[Set Nr]],4)</f>
        <v>F151</v>
      </c>
      <c r="C16" s="300" t="str">
        <f>MID(Tabelle1[[#This Row],[Set Nr]],5,3)</f>
        <v>147</v>
      </c>
      <c r="D16" s="301" t="str">
        <f>MID(Tabelle1[[#This Row],[Set Nr]],8,3)</f>
        <v>689</v>
      </c>
      <c r="E16" t="s">
        <v>1696</v>
      </c>
      <c r="F16">
        <v>10</v>
      </c>
      <c r="G16" s="117">
        <f ca="1">Sprache!A178</f>
        <v>0</v>
      </c>
    </row>
    <row r="17" spans="1:8" x14ac:dyDescent="0.25">
      <c r="A17" t="s">
        <v>801</v>
      </c>
      <c r="B17" s="302" t="str">
        <f>LEFT(Tabelle1[[#This Row],[Set Nr]],4)</f>
        <v>F151</v>
      </c>
      <c r="C17" s="300" t="str">
        <f>MID(Tabelle1[[#This Row],[Set Nr]],5,3)</f>
        <v>147</v>
      </c>
      <c r="D17" s="301" t="str">
        <f>MID(Tabelle1[[#This Row],[Set Nr]],8,3)</f>
        <v>689</v>
      </c>
      <c r="E17" t="s">
        <v>1692</v>
      </c>
      <c r="F17">
        <v>10</v>
      </c>
      <c r="G17" s="117">
        <f ca="1">Sprache!A179</f>
        <v>0</v>
      </c>
    </row>
    <row r="18" spans="1:8" x14ac:dyDescent="0.25">
      <c r="A18" t="s">
        <v>802</v>
      </c>
      <c r="B18" s="302" t="str">
        <f>LEFT(Tabelle1[[#This Row],[Set Nr]],4)</f>
        <v>F151</v>
      </c>
      <c r="C18" s="300" t="str">
        <f>MID(Tabelle1[[#This Row],[Set Nr]],5,3)</f>
        <v>147</v>
      </c>
      <c r="D18" s="301" t="str">
        <f>MID(Tabelle1[[#This Row],[Set Nr]],8,3)</f>
        <v>690</v>
      </c>
      <c r="E18" t="s">
        <v>1698</v>
      </c>
      <c r="F18">
        <v>10</v>
      </c>
      <c r="G18" s="117">
        <f ca="1">Sprache!A180</f>
        <v>0</v>
      </c>
    </row>
    <row r="19" spans="1:8" x14ac:dyDescent="0.25">
      <c r="A19" t="s">
        <v>802</v>
      </c>
      <c r="B19" s="302" t="str">
        <f>LEFT(Tabelle1[[#This Row],[Set Nr]],4)</f>
        <v>F151</v>
      </c>
      <c r="C19" s="300" t="str">
        <f>MID(Tabelle1[[#This Row],[Set Nr]],5,3)</f>
        <v>147</v>
      </c>
      <c r="D19" s="301" t="str">
        <f>MID(Tabelle1[[#This Row],[Set Nr]],8,3)</f>
        <v>690</v>
      </c>
      <c r="E19" t="s">
        <v>1692</v>
      </c>
      <c r="F19">
        <v>10</v>
      </c>
      <c r="G19" s="117">
        <f ca="1">Sprache!A181</f>
        <v>0</v>
      </c>
    </row>
    <row r="20" spans="1:8" x14ac:dyDescent="0.25">
      <c r="A20" t="s">
        <v>803</v>
      </c>
      <c r="B20" s="302" t="str">
        <f>LEFT(Tabelle1[[#This Row],[Set Nr]],4)</f>
        <v>F151</v>
      </c>
      <c r="C20" s="300" t="str">
        <f>MID(Tabelle1[[#This Row],[Set Nr]],5,3)</f>
        <v>147</v>
      </c>
      <c r="D20" s="301" t="str">
        <f>MID(Tabelle1[[#This Row],[Set Nr]],8,3)</f>
        <v>691</v>
      </c>
      <c r="E20" t="s">
        <v>1700</v>
      </c>
      <c r="F20">
        <v>10</v>
      </c>
      <c r="G20" s="117">
        <f ca="1">Sprache!A182</f>
        <v>0</v>
      </c>
    </row>
    <row r="21" spans="1:8" x14ac:dyDescent="0.25">
      <c r="A21" t="s">
        <v>803</v>
      </c>
      <c r="B21" s="302" t="str">
        <f>LEFT(Tabelle1[[#This Row],[Set Nr]],4)</f>
        <v>F151</v>
      </c>
      <c r="C21" s="300" t="str">
        <f>MID(Tabelle1[[#This Row],[Set Nr]],5,3)</f>
        <v>147</v>
      </c>
      <c r="D21" s="301" t="str">
        <f>MID(Tabelle1[[#This Row],[Set Nr]],8,3)</f>
        <v>691</v>
      </c>
      <c r="E21" t="s">
        <v>1692</v>
      </c>
      <c r="F21">
        <v>10</v>
      </c>
      <c r="G21" s="117">
        <f ca="1">Sprache!A183</f>
        <v>0</v>
      </c>
    </row>
    <row r="22" spans="1:8" x14ac:dyDescent="0.25">
      <c r="A22" t="s">
        <v>785</v>
      </c>
      <c r="B22" s="302" t="str">
        <f>LEFT(Tabelle1[[#This Row],[Set Nr]],4)</f>
        <v>F151</v>
      </c>
      <c r="C22" s="300" t="str">
        <f>MID(Tabelle1[[#This Row],[Set Nr]],5,3)</f>
        <v>145</v>
      </c>
      <c r="D22" s="301" t="str">
        <f>MID(Tabelle1[[#This Row],[Set Nr]],8,3)</f>
        <v>220</v>
      </c>
      <c r="E22" t="s">
        <v>1702</v>
      </c>
      <c r="F22">
        <v>10</v>
      </c>
      <c r="G22" s="117">
        <f ca="1">Sprache!A184</f>
        <v>0</v>
      </c>
    </row>
    <row r="23" spans="1:8" x14ac:dyDescent="0.25">
      <c r="A23" t="s">
        <v>785</v>
      </c>
      <c r="B23" s="302" t="str">
        <f>LEFT(Tabelle1[[#This Row],[Set Nr]],4)</f>
        <v>F151</v>
      </c>
      <c r="C23" s="300" t="str">
        <f>MID(Tabelle1[[#This Row],[Set Nr]],5,3)</f>
        <v>145</v>
      </c>
      <c r="D23" s="301" t="str">
        <f>MID(Tabelle1[[#This Row],[Set Nr]],8,3)</f>
        <v>220</v>
      </c>
      <c r="E23" t="s">
        <v>1704</v>
      </c>
      <c r="F23">
        <v>10</v>
      </c>
      <c r="G23" s="117">
        <f ca="1">Sprache!A185</f>
        <v>0</v>
      </c>
    </row>
    <row r="24" spans="1:8" x14ac:dyDescent="0.25">
      <c r="A24" t="s">
        <v>785</v>
      </c>
      <c r="B24" s="302" t="str">
        <f>LEFT(Tabelle1[[#This Row],[Set Nr]],4)</f>
        <v>F151</v>
      </c>
      <c r="C24" s="300" t="str">
        <f>MID(Tabelle1[[#This Row],[Set Nr]],5,3)</f>
        <v>145</v>
      </c>
      <c r="D24" s="301" t="str">
        <f>MID(Tabelle1[[#This Row],[Set Nr]],8,3)</f>
        <v>220</v>
      </c>
      <c r="E24" t="s">
        <v>1706</v>
      </c>
      <c r="F24">
        <v>10</v>
      </c>
      <c r="G24" s="117">
        <f ca="1">Sprache!A186</f>
        <v>0</v>
      </c>
      <c r="H24" t="s">
        <v>1708</v>
      </c>
    </row>
    <row r="25" spans="1:8" x14ac:dyDescent="0.25">
      <c r="A25" t="s">
        <v>816</v>
      </c>
      <c r="B25" s="302" t="str">
        <f>LEFT(Tabelle1[[#This Row],[Set Nr]],4)</f>
        <v>F151</v>
      </c>
      <c r="C25" s="300" t="str">
        <f>MID(Tabelle1[[#This Row],[Set Nr]],5,3)</f>
        <v>145</v>
      </c>
      <c r="D25" s="301" t="str">
        <f>MID(Tabelle1[[#This Row],[Set Nr]],8,3)</f>
        <v>221</v>
      </c>
      <c r="E25" t="s">
        <v>1702</v>
      </c>
      <c r="F25">
        <v>10</v>
      </c>
      <c r="G25" s="117">
        <f ca="1">Sprache!A187</f>
        <v>0</v>
      </c>
    </row>
    <row r="26" spans="1:8" x14ac:dyDescent="0.25">
      <c r="A26" t="s">
        <v>816</v>
      </c>
      <c r="B26" s="302" t="str">
        <f>LEFT(Tabelle1[[#This Row],[Set Nr]],4)</f>
        <v>F151</v>
      </c>
      <c r="C26" s="300" t="str">
        <f>MID(Tabelle1[[#This Row],[Set Nr]],5,3)</f>
        <v>145</v>
      </c>
      <c r="D26" s="301" t="str">
        <f>MID(Tabelle1[[#This Row],[Set Nr]],8,3)</f>
        <v>221</v>
      </c>
      <c r="E26" t="s">
        <v>1704</v>
      </c>
      <c r="F26">
        <v>10</v>
      </c>
      <c r="G26" s="117">
        <f ca="1">Sprache!A188</f>
        <v>0</v>
      </c>
    </row>
    <row r="27" spans="1:8" x14ac:dyDescent="0.25">
      <c r="A27" t="s">
        <v>816</v>
      </c>
      <c r="B27" s="302" t="str">
        <f>LEFT(Tabelle1[[#This Row],[Set Nr]],4)</f>
        <v>F151</v>
      </c>
      <c r="C27" s="300" t="str">
        <f>MID(Tabelle1[[#This Row],[Set Nr]],5,3)</f>
        <v>145</v>
      </c>
      <c r="D27" s="301" t="str">
        <f>MID(Tabelle1[[#This Row],[Set Nr]],8,3)</f>
        <v>221</v>
      </c>
      <c r="E27" t="s">
        <v>1706</v>
      </c>
      <c r="F27">
        <v>10</v>
      </c>
      <c r="G27" s="117">
        <f ca="1">Sprache!A189</f>
        <v>0</v>
      </c>
      <c r="H27" t="s">
        <v>1708</v>
      </c>
    </row>
    <row r="28" spans="1:8" x14ac:dyDescent="0.25">
      <c r="A28" t="s">
        <v>768</v>
      </c>
      <c r="B28" s="302" t="str">
        <f>LEFT(Tabelle1[[#This Row],[Set Nr]],4)</f>
        <v>F152</v>
      </c>
      <c r="C28" s="300" t="str">
        <f>MID(Tabelle1[[#This Row],[Set Nr]],5,3)</f>
        <v>147</v>
      </c>
      <c r="D28" s="301" t="str">
        <f>MID(Tabelle1[[#This Row],[Set Nr]],8,3)</f>
        <v>442</v>
      </c>
      <c r="E28" t="s">
        <v>1709</v>
      </c>
      <c r="F28">
        <v>10</v>
      </c>
      <c r="G28" s="117">
        <f ca="1">Sprache!A190</f>
        <v>0</v>
      </c>
    </row>
    <row r="29" spans="1:8" x14ac:dyDescent="0.25">
      <c r="A29" t="s">
        <v>768</v>
      </c>
      <c r="B29" s="302" t="str">
        <f>LEFT(Tabelle1[[#This Row],[Set Nr]],4)</f>
        <v>F152</v>
      </c>
      <c r="C29" s="300" t="str">
        <f>MID(Tabelle1[[#This Row],[Set Nr]],5,3)</f>
        <v>147</v>
      </c>
      <c r="D29" s="301" t="str">
        <f>MID(Tabelle1[[#This Row],[Set Nr]],8,3)</f>
        <v>442</v>
      </c>
      <c r="E29" t="s">
        <v>1711</v>
      </c>
      <c r="F29">
        <v>10</v>
      </c>
      <c r="G29" s="117">
        <f ca="1">Sprache!A191</f>
        <v>0</v>
      </c>
    </row>
    <row r="30" spans="1:8" x14ac:dyDescent="0.25">
      <c r="A30" t="s">
        <v>768</v>
      </c>
      <c r="B30" s="302" t="str">
        <f>LEFT(Tabelle1[[#This Row],[Set Nr]],4)</f>
        <v>F152</v>
      </c>
      <c r="C30" s="300" t="str">
        <f>MID(Tabelle1[[#This Row],[Set Nr]],5,3)</f>
        <v>147</v>
      </c>
      <c r="D30" s="301" t="str">
        <f>MID(Tabelle1[[#This Row],[Set Nr]],8,3)</f>
        <v>442</v>
      </c>
      <c r="E30" t="s">
        <v>1713</v>
      </c>
      <c r="F30">
        <v>10</v>
      </c>
      <c r="G30" s="117">
        <f ca="1">Sprache!A192</f>
        <v>0</v>
      </c>
    </row>
    <row r="31" spans="1:8" x14ac:dyDescent="0.25">
      <c r="A31" t="s">
        <v>768</v>
      </c>
      <c r="B31" s="302" t="str">
        <f>LEFT(Tabelle1[[#This Row],[Set Nr]],4)</f>
        <v>F152</v>
      </c>
      <c r="C31" s="300" t="str">
        <f>MID(Tabelle1[[#This Row],[Set Nr]],5,3)</f>
        <v>147</v>
      </c>
      <c r="D31" s="301" t="str">
        <f>MID(Tabelle1[[#This Row],[Set Nr]],8,3)</f>
        <v>442</v>
      </c>
      <c r="E31" t="s">
        <v>1715</v>
      </c>
      <c r="F31">
        <v>10</v>
      </c>
      <c r="G31" s="117">
        <f ca="1">Sprache!A193</f>
        <v>0</v>
      </c>
    </row>
    <row r="32" spans="1:8" x14ac:dyDescent="0.25">
      <c r="A32" t="s">
        <v>768</v>
      </c>
      <c r="B32" s="302" t="str">
        <f>LEFT(Tabelle1[[#This Row],[Set Nr]],4)</f>
        <v>F152</v>
      </c>
      <c r="C32" s="300" t="str">
        <f>MID(Tabelle1[[#This Row],[Set Nr]],5,3)</f>
        <v>147</v>
      </c>
      <c r="D32" s="301" t="str">
        <f>MID(Tabelle1[[#This Row],[Set Nr]],8,3)</f>
        <v>442</v>
      </c>
      <c r="E32" t="s">
        <v>1717</v>
      </c>
      <c r="F32">
        <v>10</v>
      </c>
      <c r="G32" s="117">
        <f ca="1">Sprache!A194</f>
        <v>0</v>
      </c>
    </row>
    <row r="33" spans="1:7" x14ac:dyDescent="0.25">
      <c r="A33" t="s">
        <v>768</v>
      </c>
      <c r="B33" s="302" t="str">
        <f>LEFT(Tabelle1[[#This Row],[Set Nr]],4)</f>
        <v>F152</v>
      </c>
      <c r="C33" s="300" t="str">
        <f>MID(Tabelle1[[#This Row],[Set Nr]],5,3)</f>
        <v>147</v>
      </c>
      <c r="D33" s="301" t="str">
        <f>MID(Tabelle1[[#This Row],[Set Nr]],8,3)</f>
        <v>442</v>
      </c>
      <c r="E33" t="s">
        <v>1719</v>
      </c>
      <c r="F33">
        <v>10</v>
      </c>
      <c r="G33" s="117">
        <f ca="1">Sprache!A195</f>
        <v>0</v>
      </c>
    </row>
    <row r="34" spans="1:7" x14ac:dyDescent="0.25">
      <c r="A34" t="s">
        <v>768</v>
      </c>
      <c r="B34" s="302" t="str">
        <f>LEFT(Tabelle1[[#This Row],[Set Nr]],4)</f>
        <v>F152</v>
      </c>
      <c r="C34" s="300" t="str">
        <f>MID(Tabelle1[[#This Row],[Set Nr]],5,3)</f>
        <v>147</v>
      </c>
      <c r="D34" s="301" t="str">
        <f>MID(Tabelle1[[#This Row],[Set Nr]],8,3)</f>
        <v>442</v>
      </c>
      <c r="E34" t="s">
        <v>1721</v>
      </c>
      <c r="F34">
        <v>10</v>
      </c>
      <c r="G34" s="117">
        <f ca="1">Sprache!A196</f>
        <v>0</v>
      </c>
    </row>
    <row r="35" spans="1:7" x14ac:dyDescent="0.25">
      <c r="A35" t="s">
        <v>768</v>
      </c>
      <c r="B35" s="302" t="str">
        <f>LEFT(Tabelle1[[#This Row],[Set Nr]],4)</f>
        <v>F152</v>
      </c>
      <c r="C35" s="300" t="str">
        <f>MID(Tabelle1[[#This Row],[Set Nr]],5,3)</f>
        <v>147</v>
      </c>
      <c r="D35" s="301" t="str">
        <f>MID(Tabelle1[[#This Row],[Set Nr]],8,3)</f>
        <v>442</v>
      </c>
      <c r="E35" t="s">
        <v>1723</v>
      </c>
      <c r="F35">
        <v>10</v>
      </c>
      <c r="G35" s="117">
        <f ca="1">Sprache!A197</f>
        <v>0</v>
      </c>
    </row>
    <row r="36" spans="1:7" x14ac:dyDescent="0.25">
      <c r="A36" t="s">
        <v>768</v>
      </c>
      <c r="B36" s="302" t="str">
        <f>LEFT(Tabelle1[[#This Row],[Set Nr]],4)</f>
        <v>F152</v>
      </c>
      <c r="C36" s="300" t="str">
        <f>MID(Tabelle1[[#This Row],[Set Nr]],5,3)</f>
        <v>147</v>
      </c>
      <c r="D36" s="301" t="str">
        <f>MID(Tabelle1[[#This Row],[Set Nr]],8,3)</f>
        <v>442</v>
      </c>
      <c r="E36" t="s">
        <v>1725</v>
      </c>
      <c r="F36">
        <v>10</v>
      </c>
      <c r="G36" s="117">
        <f ca="1">Sprache!A198</f>
        <v>0</v>
      </c>
    </row>
    <row r="37" spans="1:7" x14ac:dyDescent="0.25">
      <c r="A37" t="s">
        <v>768</v>
      </c>
      <c r="B37" s="302" t="str">
        <f>LEFT(Tabelle1[[#This Row],[Set Nr]],4)</f>
        <v>F152</v>
      </c>
      <c r="C37" s="300" t="str">
        <f>MID(Tabelle1[[#This Row],[Set Nr]],5,3)</f>
        <v>147</v>
      </c>
      <c r="D37" s="301" t="str">
        <f>MID(Tabelle1[[#This Row],[Set Nr]],8,3)</f>
        <v>442</v>
      </c>
      <c r="E37" t="s">
        <v>1727</v>
      </c>
      <c r="F37">
        <v>10</v>
      </c>
      <c r="G37" s="117">
        <f ca="1">Sprache!A199</f>
        <v>0</v>
      </c>
    </row>
    <row r="38" spans="1:7" x14ac:dyDescent="0.25">
      <c r="A38" t="s">
        <v>768</v>
      </c>
      <c r="B38" s="302" t="str">
        <f>LEFT(Tabelle1[[#This Row],[Set Nr]],4)</f>
        <v>F152</v>
      </c>
      <c r="C38" s="300" t="str">
        <f>MID(Tabelle1[[#This Row],[Set Nr]],5,3)</f>
        <v>147</v>
      </c>
      <c r="D38" s="301" t="str">
        <f>MID(Tabelle1[[#This Row],[Set Nr]],8,3)</f>
        <v>442</v>
      </c>
      <c r="E38" t="s">
        <v>1729</v>
      </c>
      <c r="F38">
        <v>10</v>
      </c>
      <c r="G38" s="117">
        <f ca="1">Sprache!A200</f>
        <v>0</v>
      </c>
    </row>
    <row r="39" spans="1:7" x14ac:dyDescent="0.25">
      <c r="A39" t="s">
        <v>769</v>
      </c>
      <c r="B39" s="302" t="str">
        <f>LEFT(Tabelle1[[#This Row],[Set Nr]],4)</f>
        <v>F152</v>
      </c>
      <c r="C39" s="300" t="str">
        <f>MID(Tabelle1[[#This Row],[Set Nr]],5,3)</f>
        <v>145</v>
      </c>
      <c r="D39" s="301" t="str">
        <f>MID(Tabelle1[[#This Row],[Set Nr]],8,3)</f>
        <v>281</v>
      </c>
      <c r="E39" t="s">
        <v>1731</v>
      </c>
      <c r="F39">
        <v>10</v>
      </c>
      <c r="G39" s="117">
        <f ca="1">Sprache!A201</f>
        <v>0</v>
      </c>
    </row>
    <row r="40" spans="1:7" x14ac:dyDescent="0.25">
      <c r="A40" t="s">
        <v>769</v>
      </c>
      <c r="B40" s="302" t="str">
        <f>LEFT(Tabelle1[[#This Row],[Set Nr]],4)</f>
        <v>F152</v>
      </c>
      <c r="C40" s="300" t="str">
        <f>MID(Tabelle1[[#This Row],[Set Nr]],5,3)</f>
        <v>145</v>
      </c>
      <c r="D40" s="301" t="str">
        <f>MID(Tabelle1[[#This Row],[Set Nr]],8,3)</f>
        <v>281</v>
      </c>
      <c r="E40" t="s">
        <v>1733</v>
      </c>
      <c r="F40">
        <v>10</v>
      </c>
      <c r="G40" s="117">
        <f ca="1">Sprache!A202</f>
        <v>0</v>
      </c>
    </row>
    <row r="41" spans="1:7" x14ac:dyDescent="0.25">
      <c r="A41" t="s">
        <v>769</v>
      </c>
      <c r="B41" s="302" t="str">
        <f>LEFT(Tabelle1[[#This Row],[Set Nr]],4)</f>
        <v>F152</v>
      </c>
      <c r="C41" s="300" t="str">
        <f>MID(Tabelle1[[#This Row],[Set Nr]],5,3)</f>
        <v>145</v>
      </c>
      <c r="D41" s="301" t="str">
        <f>MID(Tabelle1[[#This Row],[Set Nr]],8,3)</f>
        <v>281</v>
      </c>
      <c r="E41" t="s">
        <v>1713</v>
      </c>
      <c r="F41">
        <v>10</v>
      </c>
      <c r="G41" s="117">
        <f ca="1">Sprache!A203</f>
        <v>0</v>
      </c>
    </row>
    <row r="42" spans="1:7" x14ac:dyDescent="0.25">
      <c r="A42" t="s">
        <v>769</v>
      </c>
      <c r="B42" s="302" t="str">
        <f>LEFT(Tabelle1[[#This Row],[Set Nr]],4)</f>
        <v>F152</v>
      </c>
      <c r="C42" s="300" t="str">
        <f>MID(Tabelle1[[#This Row],[Set Nr]],5,3)</f>
        <v>145</v>
      </c>
      <c r="D42" s="301" t="str">
        <f>MID(Tabelle1[[#This Row],[Set Nr]],8,3)</f>
        <v>281</v>
      </c>
      <c r="E42" t="s">
        <v>1715</v>
      </c>
      <c r="F42">
        <v>10</v>
      </c>
      <c r="G42" s="117">
        <f ca="1">Sprache!A204</f>
        <v>0</v>
      </c>
    </row>
    <row r="43" spans="1:7" x14ac:dyDescent="0.25">
      <c r="A43" t="s">
        <v>769</v>
      </c>
      <c r="B43" s="302" t="str">
        <f>LEFT(Tabelle1[[#This Row],[Set Nr]],4)</f>
        <v>F152</v>
      </c>
      <c r="C43" s="300" t="str">
        <f>MID(Tabelle1[[#This Row],[Set Nr]],5,3)</f>
        <v>145</v>
      </c>
      <c r="D43" s="301" t="str">
        <f>MID(Tabelle1[[#This Row],[Set Nr]],8,3)</f>
        <v>281</v>
      </c>
      <c r="E43" t="s">
        <v>1717</v>
      </c>
      <c r="F43">
        <v>10</v>
      </c>
      <c r="G43" s="117">
        <f ca="1">Sprache!A205</f>
        <v>0</v>
      </c>
    </row>
    <row r="44" spans="1:7" x14ac:dyDescent="0.25">
      <c r="A44" t="s">
        <v>769</v>
      </c>
      <c r="B44" s="302" t="str">
        <f>LEFT(Tabelle1[[#This Row],[Set Nr]],4)</f>
        <v>F152</v>
      </c>
      <c r="C44" s="300" t="str">
        <f>MID(Tabelle1[[#This Row],[Set Nr]],5,3)</f>
        <v>145</v>
      </c>
      <c r="D44" s="301" t="str">
        <f>MID(Tabelle1[[#This Row],[Set Nr]],8,3)</f>
        <v>281</v>
      </c>
      <c r="E44" t="s">
        <v>1719</v>
      </c>
      <c r="F44">
        <v>10</v>
      </c>
      <c r="G44" s="117">
        <f ca="1">Sprache!A206</f>
        <v>0</v>
      </c>
    </row>
    <row r="45" spans="1:7" x14ac:dyDescent="0.25">
      <c r="A45" t="s">
        <v>769</v>
      </c>
      <c r="B45" s="302" t="str">
        <f>LEFT(Tabelle1[[#This Row],[Set Nr]],4)</f>
        <v>F152</v>
      </c>
      <c r="C45" s="300" t="str">
        <f>MID(Tabelle1[[#This Row],[Set Nr]],5,3)</f>
        <v>145</v>
      </c>
      <c r="D45" s="301" t="str">
        <f>MID(Tabelle1[[#This Row],[Set Nr]],8,3)</f>
        <v>281</v>
      </c>
      <c r="E45" t="s">
        <v>1721</v>
      </c>
      <c r="F45">
        <v>10</v>
      </c>
      <c r="G45" s="117">
        <f ca="1">Sprache!A207</f>
        <v>0</v>
      </c>
    </row>
    <row r="46" spans="1:7" x14ac:dyDescent="0.25">
      <c r="A46" t="s">
        <v>769</v>
      </c>
      <c r="B46" s="302" t="str">
        <f>LEFT(Tabelle1[[#This Row],[Set Nr]],4)</f>
        <v>F152</v>
      </c>
      <c r="C46" s="300" t="str">
        <f>MID(Tabelle1[[#This Row],[Set Nr]],5,3)</f>
        <v>145</v>
      </c>
      <c r="D46" s="301" t="str">
        <f>MID(Tabelle1[[#This Row],[Set Nr]],8,3)</f>
        <v>281</v>
      </c>
      <c r="E46" t="s">
        <v>1723</v>
      </c>
      <c r="F46">
        <v>10</v>
      </c>
      <c r="G46" s="117">
        <f ca="1">Sprache!A208</f>
        <v>0</v>
      </c>
    </row>
    <row r="47" spans="1:7" x14ac:dyDescent="0.25">
      <c r="A47" t="s">
        <v>769</v>
      </c>
      <c r="B47" s="302" t="str">
        <f>LEFT(Tabelle1[[#This Row],[Set Nr]],4)</f>
        <v>F152</v>
      </c>
      <c r="C47" s="300" t="str">
        <f>MID(Tabelle1[[#This Row],[Set Nr]],5,3)</f>
        <v>145</v>
      </c>
      <c r="D47" s="301" t="str">
        <f>MID(Tabelle1[[#This Row],[Set Nr]],8,3)</f>
        <v>281</v>
      </c>
      <c r="E47" t="s">
        <v>1725</v>
      </c>
      <c r="F47">
        <v>10</v>
      </c>
      <c r="G47" s="117">
        <f ca="1">Sprache!A209</f>
        <v>0</v>
      </c>
    </row>
    <row r="48" spans="1:7" x14ac:dyDescent="0.25">
      <c r="A48" t="s">
        <v>769</v>
      </c>
      <c r="B48" s="302" t="str">
        <f>LEFT(Tabelle1[[#This Row],[Set Nr]],4)</f>
        <v>F152</v>
      </c>
      <c r="C48" s="300" t="str">
        <f>MID(Tabelle1[[#This Row],[Set Nr]],5,3)</f>
        <v>145</v>
      </c>
      <c r="D48" s="301" t="str">
        <f>MID(Tabelle1[[#This Row],[Set Nr]],8,3)</f>
        <v>281</v>
      </c>
      <c r="E48" t="s">
        <v>1727</v>
      </c>
      <c r="F48">
        <v>10</v>
      </c>
      <c r="G48" s="117">
        <f ca="1">Sprache!A210</f>
        <v>0</v>
      </c>
    </row>
    <row r="49" spans="1:7" x14ac:dyDescent="0.25">
      <c r="A49" t="s">
        <v>769</v>
      </c>
      <c r="B49" s="302" t="str">
        <f>LEFT(Tabelle1[[#This Row],[Set Nr]],4)</f>
        <v>F152</v>
      </c>
      <c r="C49" s="300" t="str">
        <f>MID(Tabelle1[[#This Row],[Set Nr]],5,3)</f>
        <v>145</v>
      </c>
      <c r="D49" s="301" t="str">
        <f>MID(Tabelle1[[#This Row],[Set Nr]],8,3)</f>
        <v>281</v>
      </c>
      <c r="E49" t="s">
        <v>1729</v>
      </c>
      <c r="F49">
        <v>10</v>
      </c>
      <c r="G49" s="117">
        <f ca="1">Sprache!A211</f>
        <v>0</v>
      </c>
    </row>
    <row r="50" spans="1:7" x14ac:dyDescent="0.25">
      <c r="A50" s="1"/>
      <c r="B50" s="317" t="str">
        <f>LEFT(Tabelle1[[#This Row],[Set Nr]],4)</f>
        <v/>
      </c>
      <c r="C50" s="318" t="str">
        <f>MID(Tabelle1[[#This Row],[Set Nr]],5,3)</f>
        <v/>
      </c>
      <c r="D50" s="319" t="str">
        <f>MID(Tabelle1[[#This Row],[Set Nr]],8,3)</f>
        <v/>
      </c>
      <c r="E50" s="2"/>
      <c r="G50" s="117">
        <f ca="1">Sprache!A212</f>
        <v>0</v>
      </c>
    </row>
    <row r="51" spans="1:7" x14ac:dyDescent="0.25">
      <c r="A51" s="1"/>
      <c r="B51" s="317" t="str">
        <f>LEFT(Tabelle1[[#This Row],[Set Nr]],4)</f>
        <v/>
      </c>
      <c r="C51" s="318" t="str">
        <f>MID(Tabelle1[[#This Row],[Set Nr]],5,3)</f>
        <v/>
      </c>
      <c r="D51" s="319" t="str">
        <f>MID(Tabelle1[[#This Row],[Set Nr]],8,3)</f>
        <v/>
      </c>
      <c r="E51" s="2"/>
      <c r="G51" s="117">
        <f ca="1">Sprache!A213</f>
        <v>0</v>
      </c>
    </row>
    <row r="52" spans="1:7" x14ac:dyDescent="0.25">
      <c r="A52" s="1"/>
      <c r="B52" s="317" t="str">
        <f>LEFT(Tabelle1[[#This Row],[Set Nr]],4)</f>
        <v/>
      </c>
      <c r="C52" s="318" t="str">
        <f>MID(Tabelle1[[#This Row],[Set Nr]],5,3)</f>
        <v/>
      </c>
      <c r="D52" s="319" t="str">
        <f>MID(Tabelle1[[#This Row],[Set Nr]],8,3)</f>
        <v/>
      </c>
      <c r="E52" s="2"/>
      <c r="G52" s="117">
        <f ca="1">Sprache!A214</f>
        <v>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V1008"/>
  <sheetViews>
    <sheetView workbookViewId="0">
      <pane xSplit="3" ySplit="3" topLeftCell="K4" activePane="bottomRight" state="frozen"/>
      <selection activeCell="C1" sqref="C1"/>
      <selection pane="topRight" activeCell="D1" sqref="D1"/>
      <selection pane="bottomLeft" activeCell="C4" sqref="C4"/>
      <selection pane="bottomRight" activeCell="P17" sqref="P17"/>
    </sheetView>
  </sheetViews>
  <sheetFormatPr defaultColWidth="11.42578125" defaultRowHeight="15" x14ac:dyDescent="0.25"/>
  <cols>
    <col min="1" max="1" width="16.85546875" style="121" customWidth="1"/>
    <col min="2" max="2" width="3.28515625" style="121" customWidth="1"/>
    <col min="3" max="3" width="44.5703125" style="121" customWidth="1"/>
    <col min="4" max="22" width="29.5703125" style="121" customWidth="1"/>
    <col min="23" max="16384" width="11.42578125" style="121"/>
  </cols>
  <sheetData>
    <row r="1" spans="1:22" x14ac:dyDescent="0.25">
      <c r="C1" s="119" t="str">
        <f>Daten!A810</f>
        <v>Kinvaro Produktfinder realisiert von SYS33 EDV Dienstleistung im Auftrag von GRASS GmbH Reinheim</v>
      </c>
    </row>
    <row r="2" spans="1:22" x14ac:dyDescent="0.25">
      <c r="A2" s="121" t="s">
        <v>48</v>
      </c>
      <c r="B2" s="121">
        <v>10</v>
      </c>
    </row>
    <row r="3" spans="1:22" x14ac:dyDescent="0.25">
      <c r="C3" s="122" t="s">
        <v>49</v>
      </c>
      <c r="D3" s="122" t="s">
        <v>50</v>
      </c>
      <c r="E3" s="122" t="s">
        <v>119</v>
      </c>
      <c r="F3" s="122" t="s">
        <v>121</v>
      </c>
      <c r="G3" s="122" t="s">
        <v>122</v>
      </c>
      <c r="H3" s="122" t="s">
        <v>120</v>
      </c>
      <c r="I3" s="122" t="s">
        <v>869</v>
      </c>
      <c r="J3" s="122" t="s">
        <v>1080</v>
      </c>
      <c r="K3" s="122" t="s">
        <v>1211</v>
      </c>
      <c r="L3" s="122" t="s">
        <v>1365</v>
      </c>
      <c r="M3" s="329" t="str">
        <f>C15</f>
        <v>Griechisch</v>
      </c>
      <c r="N3" s="122" t="s">
        <v>1937</v>
      </c>
      <c r="O3" s="122" t="str">
        <f>C17</f>
        <v>Serbisch</v>
      </c>
      <c r="P3" s="329" t="s">
        <v>2200</v>
      </c>
      <c r="Q3" s="122" t="str">
        <f>C19</f>
        <v>#15</v>
      </c>
      <c r="R3" s="122" t="str">
        <f>C20</f>
        <v>#16</v>
      </c>
      <c r="S3" s="122" t="str">
        <f>C21</f>
        <v>#17</v>
      </c>
      <c r="T3" s="122" t="str">
        <f>C22</f>
        <v>#18</v>
      </c>
      <c r="U3" s="122" t="str">
        <f>C23</f>
        <v>#19</v>
      </c>
      <c r="V3" s="122" t="str">
        <f>C24</f>
        <v>#20</v>
      </c>
    </row>
    <row r="4" spans="1:22" x14ac:dyDescent="0.25">
      <c r="A4" s="121" t="str">
        <f ca="1">OFFSET(B4,0,$B$2,1,1)</f>
        <v>Язык</v>
      </c>
      <c r="C4" s="122" t="s">
        <v>48</v>
      </c>
      <c r="D4" s="122" t="s">
        <v>80</v>
      </c>
      <c r="E4" s="122" t="s">
        <v>575</v>
      </c>
      <c r="F4" s="122" t="s">
        <v>574</v>
      </c>
      <c r="G4" s="122" t="s">
        <v>573</v>
      </c>
      <c r="H4" s="122" t="s">
        <v>572</v>
      </c>
      <c r="I4" s="122" t="s">
        <v>572</v>
      </c>
      <c r="J4" s="122" t="s">
        <v>1081</v>
      </c>
      <c r="K4" s="122" t="s">
        <v>1212</v>
      </c>
      <c r="L4" s="122" t="s">
        <v>1373</v>
      </c>
      <c r="M4" s="329" t="s">
        <v>1927</v>
      </c>
      <c r="N4" s="122" t="s">
        <v>1938</v>
      </c>
      <c r="O4" s="122" t="s">
        <v>2088</v>
      </c>
      <c r="P4" s="329" t="s">
        <v>2201</v>
      </c>
      <c r="Q4" s="122"/>
      <c r="R4" s="122"/>
      <c r="S4" s="122"/>
      <c r="T4" s="122"/>
      <c r="U4" s="122"/>
      <c r="V4" s="122"/>
    </row>
    <row r="5" spans="1:22" x14ac:dyDescent="0.25">
      <c r="A5" s="121" t="str">
        <f ca="1">IF(LEFT(OFFSET(B5,0,$B$2,1,1),1)="#","",OFFSET(B5,0,$B$2,1,1))</f>
        <v>Немецкий</v>
      </c>
      <c r="C5" s="152" t="s">
        <v>49</v>
      </c>
      <c r="D5" s="152" t="s">
        <v>1359</v>
      </c>
      <c r="E5" s="152" t="s">
        <v>598</v>
      </c>
      <c r="F5" s="152" t="s">
        <v>590</v>
      </c>
      <c r="G5" s="152" t="s">
        <v>583</v>
      </c>
      <c r="H5" s="152" t="s">
        <v>589</v>
      </c>
      <c r="I5" s="152" t="s">
        <v>870</v>
      </c>
      <c r="J5" s="152" t="s">
        <v>1082</v>
      </c>
      <c r="K5" s="152" t="s">
        <v>1213</v>
      </c>
      <c r="L5" s="152" t="s">
        <v>1374</v>
      </c>
      <c r="M5" s="152" t="s">
        <v>1921</v>
      </c>
      <c r="N5" s="152" t="s">
        <v>1939</v>
      </c>
      <c r="O5" s="152" t="s">
        <v>2089</v>
      </c>
      <c r="P5" s="152" t="s">
        <v>2202</v>
      </c>
      <c r="Q5" s="152" t="s">
        <v>1579</v>
      </c>
      <c r="R5" s="152" t="s">
        <v>1579</v>
      </c>
      <c r="S5" s="152" t="s">
        <v>1579</v>
      </c>
      <c r="T5" s="152" t="s">
        <v>1579</v>
      </c>
      <c r="U5" s="152" t="s">
        <v>1579</v>
      </c>
      <c r="V5" s="152" t="s">
        <v>1579</v>
      </c>
    </row>
    <row r="6" spans="1:22" x14ac:dyDescent="0.25">
      <c r="A6" s="121" t="str">
        <f t="shared" ref="A6:A24" ca="1" si="0">IF(LEFT(OFFSET(B6,0,$B$2,1,1),1)="#","",OFFSET(B6,0,$B$2,1,1))</f>
        <v>Английский</v>
      </c>
      <c r="C6" s="152" t="s">
        <v>50</v>
      </c>
      <c r="D6" s="152" t="s">
        <v>1360</v>
      </c>
      <c r="E6" s="152" t="s">
        <v>597</v>
      </c>
      <c r="F6" s="152" t="s">
        <v>591</v>
      </c>
      <c r="G6" s="152" t="s">
        <v>341</v>
      </c>
      <c r="H6" s="152" t="s">
        <v>342</v>
      </c>
      <c r="I6" s="152" t="s">
        <v>871</v>
      </c>
      <c r="J6" s="152" t="s">
        <v>1083</v>
      </c>
      <c r="K6" s="152" t="s">
        <v>1214</v>
      </c>
      <c r="L6" s="152" t="s">
        <v>1375</v>
      </c>
      <c r="M6" s="152" t="s">
        <v>1778</v>
      </c>
      <c r="N6" s="152" t="s">
        <v>1940</v>
      </c>
      <c r="O6" s="152" t="s">
        <v>2090</v>
      </c>
      <c r="P6" s="152" t="s">
        <v>2203</v>
      </c>
      <c r="Q6" s="152" t="s">
        <v>1580</v>
      </c>
      <c r="R6" s="152" t="s">
        <v>1580</v>
      </c>
      <c r="S6" s="152" t="s">
        <v>1580</v>
      </c>
      <c r="T6" s="152" t="s">
        <v>1580</v>
      </c>
      <c r="U6" s="152" t="s">
        <v>1580</v>
      </c>
      <c r="V6" s="152" t="s">
        <v>1580</v>
      </c>
    </row>
    <row r="7" spans="1:22" x14ac:dyDescent="0.25">
      <c r="A7" s="121" t="str">
        <f t="shared" ca="1" si="0"/>
        <v>Шведский</v>
      </c>
      <c r="C7" s="152" t="s">
        <v>119</v>
      </c>
      <c r="D7" s="152" t="s">
        <v>1361</v>
      </c>
      <c r="E7" s="152" t="s">
        <v>596</v>
      </c>
      <c r="F7" s="152" t="s">
        <v>592</v>
      </c>
      <c r="G7" s="152" t="s">
        <v>584</v>
      </c>
      <c r="H7" s="152" t="s">
        <v>588</v>
      </c>
      <c r="I7" s="152" t="s">
        <v>588</v>
      </c>
      <c r="J7" s="152" t="s">
        <v>1084</v>
      </c>
      <c r="K7" s="152" t="s">
        <v>1215</v>
      </c>
      <c r="L7" s="152" t="s">
        <v>1376</v>
      </c>
      <c r="M7" s="152" t="s">
        <v>1779</v>
      </c>
      <c r="N7" s="152" t="s">
        <v>1941</v>
      </c>
      <c r="O7" s="152" t="s">
        <v>2091</v>
      </c>
      <c r="P7" s="152" t="s">
        <v>2204</v>
      </c>
      <c r="Q7" s="152" t="s">
        <v>1581</v>
      </c>
      <c r="R7" s="152" t="s">
        <v>1581</v>
      </c>
      <c r="S7" s="152" t="s">
        <v>1581</v>
      </c>
      <c r="T7" s="152" t="s">
        <v>1581</v>
      </c>
      <c r="U7" s="152" t="s">
        <v>1581</v>
      </c>
      <c r="V7" s="152" t="s">
        <v>1581</v>
      </c>
    </row>
    <row r="8" spans="1:22" x14ac:dyDescent="0.25">
      <c r="A8" s="121" t="str">
        <f t="shared" ca="1" si="0"/>
        <v>Итальянский</v>
      </c>
      <c r="C8" s="152" t="s">
        <v>121</v>
      </c>
      <c r="D8" s="152" t="s">
        <v>1362</v>
      </c>
      <c r="E8" s="152" t="s">
        <v>296</v>
      </c>
      <c r="F8" s="152" t="s">
        <v>294</v>
      </c>
      <c r="G8" s="152" t="s">
        <v>585</v>
      </c>
      <c r="H8" s="152" t="s">
        <v>294</v>
      </c>
      <c r="I8" s="152" t="s">
        <v>294</v>
      </c>
      <c r="J8" s="152" t="s">
        <v>1085</v>
      </c>
      <c r="K8" s="152" t="s">
        <v>1216</v>
      </c>
      <c r="L8" s="152" t="s">
        <v>1377</v>
      </c>
      <c r="M8" s="152" t="s">
        <v>1780</v>
      </c>
      <c r="N8" s="152" t="s">
        <v>1942</v>
      </c>
      <c r="O8" s="152" t="s">
        <v>2092</v>
      </c>
      <c r="P8" s="152" t="s">
        <v>2205</v>
      </c>
      <c r="Q8" s="152" t="s">
        <v>1582</v>
      </c>
      <c r="R8" s="152" t="s">
        <v>1582</v>
      </c>
      <c r="S8" s="152" t="s">
        <v>1582</v>
      </c>
      <c r="T8" s="152" t="s">
        <v>1582</v>
      </c>
      <c r="U8" s="152" t="s">
        <v>1582</v>
      </c>
      <c r="V8" s="152" t="s">
        <v>1582</v>
      </c>
    </row>
    <row r="9" spans="1:22" x14ac:dyDescent="0.25">
      <c r="A9" s="121" t="str">
        <f t="shared" ca="1" si="0"/>
        <v>Французский</v>
      </c>
      <c r="C9" s="152" t="s">
        <v>79</v>
      </c>
      <c r="D9" s="152" t="s">
        <v>1363</v>
      </c>
      <c r="E9" s="152" t="s">
        <v>297</v>
      </c>
      <c r="F9" s="152" t="s">
        <v>593</v>
      </c>
      <c r="G9" s="152" t="s">
        <v>293</v>
      </c>
      <c r="H9" s="152" t="s">
        <v>587</v>
      </c>
      <c r="I9" s="152" t="s">
        <v>872</v>
      </c>
      <c r="J9" s="152" t="s">
        <v>1086</v>
      </c>
      <c r="K9" s="152" t="s">
        <v>1217</v>
      </c>
      <c r="L9" s="152" t="s">
        <v>1378</v>
      </c>
      <c r="M9" s="152" t="s">
        <v>1781</v>
      </c>
      <c r="N9" s="152" t="s">
        <v>1943</v>
      </c>
      <c r="O9" s="152" t="s">
        <v>2093</v>
      </c>
      <c r="P9" s="152" t="s">
        <v>2206</v>
      </c>
      <c r="Q9" s="152" t="s">
        <v>1583</v>
      </c>
      <c r="R9" s="152" t="s">
        <v>1583</v>
      </c>
      <c r="S9" s="152" t="s">
        <v>1583</v>
      </c>
      <c r="T9" s="152" t="s">
        <v>1583</v>
      </c>
      <c r="U9" s="152" t="s">
        <v>1583</v>
      </c>
      <c r="V9" s="152" t="s">
        <v>1583</v>
      </c>
    </row>
    <row r="10" spans="1:22" x14ac:dyDescent="0.25">
      <c r="A10" s="121" t="str">
        <f t="shared" ca="1" si="0"/>
        <v>Испанский</v>
      </c>
      <c r="C10" s="152" t="s">
        <v>120</v>
      </c>
      <c r="D10" s="152" t="s">
        <v>1364</v>
      </c>
      <c r="E10" s="152" t="s">
        <v>595</v>
      </c>
      <c r="F10" s="152" t="s">
        <v>594</v>
      </c>
      <c r="G10" s="152" t="s">
        <v>586</v>
      </c>
      <c r="H10" s="152" t="s">
        <v>295</v>
      </c>
      <c r="I10" s="152" t="s">
        <v>873</v>
      </c>
      <c r="J10" s="152" t="s">
        <v>1087</v>
      </c>
      <c r="K10" s="152" t="s">
        <v>1218</v>
      </c>
      <c r="L10" s="152" t="s">
        <v>1379</v>
      </c>
      <c r="M10" s="152" t="s">
        <v>1782</v>
      </c>
      <c r="N10" s="152" t="s">
        <v>1944</v>
      </c>
      <c r="O10" s="152" t="s">
        <v>2094</v>
      </c>
      <c r="P10" s="152" t="s">
        <v>2207</v>
      </c>
      <c r="Q10" s="152" t="s">
        <v>1584</v>
      </c>
      <c r="R10" s="152" t="s">
        <v>1584</v>
      </c>
      <c r="S10" s="152" t="s">
        <v>1584</v>
      </c>
      <c r="T10" s="152" t="s">
        <v>1584</v>
      </c>
      <c r="U10" s="152" t="s">
        <v>1584</v>
      </c>
      <c r="V10" s="152" t="s">
        <v>1584</v>
      </c>
    </row>
    <row r="11" spans="1:22" x14ac:dyDescent="0.25">
      <c r="A11" s="121" t="str">
        <f t="shared" ca="1" si="0"/>
        <v>Португальский</v>
      </c>
      <c r="C11" s="152" t="s">
        <v>869</v>
      </c>
      <c r="D11" s="152" t="s">
        <v>1015</v>
      </c>
      <c r="E11" s="152" t="s">
        <v>1016</v>
      </c>
      <c r="F11" s="152" t="s">
        <v>1014</v>
      </c>
      <c r="G11" s="152" t="s">
        <v>1013</v>
      </c>
      <c r="H11" s="152" t="s">
        <v>1012</v>
      </c>
      <c r="I11" s="152" t="s">
        <v>1011</v>
      </c>
      <c r="J11" s="152" t="s">
        <v>1088</v>
      </c>
      <c r="K11" s="152" t="s">
        <v>1219</v>
      </c>
      <c r="L11" s="152" t="s">
        <v>1380</v>
      </c>
      <c r="M11" s="152" t="s">
        <v>1922</v>
      </c>
      <c r="N11" s="152" t="s">
        <v>1945</v>
      </c>
      <c r="O11" s="152" t="s">
        <v>2095</v>
      </c>
      <c r="P11" s="152" t="s">
        <v>2208</v>
      </c>
      <c r="Q11" s="152" t="s">
        <v>1585</v>
      </c>
      <c r="R11" s="152" t="s">
        <v>1585</v>
      </c>
      <c r="S11" s="152" t="s">
        <v>1585</v>
      </c>
      <c r="T11" s="152" t="s">
        <v>1585</v>
      </c>
      <c r="U11" s="152" t="s">
        <v>1585</v>
      </c>
      <c r="V11" s="152" t="s">
        <v>1585</v>
      </c>
    </row>
    <row r="12" spans="1:22" x14ac:dyDescent="0.25">
      <c r="A12" s="121" t="str">
        <f t="shared" ca="1" si="0"/>
        <v>Турецкий</v>
      </c>
      <c r="C12" s="152" t="s">
        <v>1080</v>
      </c>
      <c r="D12" s="152" t="s">
        <v>1209</v>
      </c>
      <c r="E12" s="152" t="s">
        <v>1353</v>
      </c>
      <c r="F12" s="152" t="s">
        <v>1208</v>
      </c>
      <c r="G12" s="152" t="s">
        <v>1210</v>
      </c>
      <c r="H12" s="152" t="s">
        <v>1208</v>
      </c>
      <c r="I12" s="152" t="s">
        <v>1208</v>
      </c>
      <c r="J12" s="152" t="s">
        <v>1089</v>
      </c>
      <c r="K12" s="152" t="s">
        <v>1351</v>
      </c>
      <c r="L12" s="152" t="s">
        <v>1381</v>
      </c>
      <c r="M12" s="152" t="s">
        <v>1923</v>
      </c>
      <c r="N12" s="152" t="s">
        <v>1946</v>
      </c>
      <c r="O12" s="152" t="s">
        <v>2096</v>
      </c>
      <c r="P12" s="152" t="s">
        <v>2209</v>
      </c>
      <c r="Q12" s="152" t="s">
        <v>1586</v>
      </c>
      <c r="R12" s="152" t="s">
        <v>1586</v>
      </c>
      <c r="S12" s="152" t="s">
        <v>1586</v>
      </c>
      <c r="T12" s="152" t="s">
        <v>1586</v>
      </c>
      <c r="U12" s="152" t="s">
        <v>1586</v>
      </c>
      <c r="V12" s="152" t="s">
        <v>1586</v>
      </c>
    </row>
    <row r="13" spans="1:22" x14ac:dyDescent="0.25">
      <c r="A13" s="121" t="str">
        <f t="shared" ca="1" si="0"/>
        <v>Китайский</v>
      </c>
      <c r="C13" s="152" t="s">
        <v>1349</v>
      </c>
      <c r="D13" s="152" t="s">
        <v>1350</v>
      </c>
      <c r="E13" s="152" t="s">
        <v>1352</v>
      </c>
      <c r="F13" s="152" t="s">
        <v>1354</v>
      </c>
      <c r="G13" s="152" t="s">
        <v>1355</v>
      </c>
      <c r="H13" s="152" t="s">
        <v>1356</v>
      </c>
      <c r="I13" s="152" t="s">
        <v>1357</v>
      </c>
      <c r="J13" s="152" t="s">
        <v>1358</v>
      </c>
      <c r="K13" s="152" t="s">
        <v>1211</v>
      </c>
      <c r="L13" s="152" t="s">
        <v>1382</v>
      </c>
      <c r="M13" s="152" t="s">
        <v>1924</v>
      </c>
      <c r="N13" s="152" t="s">
        <v>1947</v>
      </c>
      <c r="O13" s="152" t="s">
        <v>2097</v>
      </c>
      <c r="P13" s="152" t="s">
        <v>2210</v>
      </c>
      <c r="Q13" s="152" t="s">
        <v>1587</v>
      </c>
      <c r="R13" s="152" t="s">
        <v>1587</v>
      </c>
      <c r="S13" s="152" t="s">
        <v>1587</v>
      </c>
      <c r="T13" s="152" t="s">
        <v>1587</v>
      </c>
      <c r="U13" s="152" t="s">
        <v>1587</v>
      </c>
      <c r="V13" s="152" t="s">
        <v>1587</v>
      </c>
    </row>
    <row r="14" spans="1:22" s="124" customFormat="1" x14ac:dyDescent="0.25">
      <c r="A14" s="121" t="str">
        <f t="shared" ca="1" si="0"/>
        <v>Pу́сский язы́к</v>
      </c>
      <c r="C14" s="152" t="s">
        <v>1365</v>
      </c>
      <c r="D14" s="152" t="s">
        <v>1366</v>
      </c>
      <c r="E14" s="152" t="s">
        <v>1372</v>
      </c>
      <c r="F14" s="152" t="s">
        <v>1367</v>
      </c>
      <c r="G14" s="152" t="s">
        <v>1368</v>
      </c>
      <c r="H14" s="152" t="s">
        <v>1369</v>
      </c>
      <c r="I14" s="152" t="s">
        <v>1367</v>
      </c>
      <c r="J14" s="152" t="s">
        <v>1370</v>
      </c>
      <c r="K14" s="152" t="s">
        <v>1371</v>
      </c>
      <c r="L14" s="160" t="s">
        <v>1511</v>
      </c>
      <c r="M14" s="160" t="s">
        <v>1925</v>
      </c>
      <c r="N14" s="152" t="s">
        <v>1948</v>
      </c>
      <c r="O14" s="152" t="s">
        <v>2098</v>
      </c>
      <c r="P14" s="152" t="s">
        <v>2211</v>
      </c>
      <c r="Q14" s="152" t="s">
        <v>1588</v>
      </c>
      <c r="R14" s="152" t="s">
        <v>1588</v>
      </c>
      <c r="S14" s="152" t="s">
        <v>1588</v>
      </c>
      <c r="T14" s="152" t="s">
        <v>1588</v>
      </c>
      <c r="U14" s="152" t="s">
        <v>1588</v>
      </c>
      <c r="V14" s="152" t="s">
        <v>1588</v>
      </c>
    </row>
    <row r="15" spans="1:22" s="124" customFormat="1" x14ac:dyDescent="0.25">
      <c r="A15" s="121" t="str">
        <f t="shared" ca="1" si="0"/>
        <v>гре́ческий</v>
      </c>
      <c r="C15" s="152" t="s">
        <v>1770</v>
      </c>
      <c r="D15" s="152" t="s">
        <v>1771</v>
      </c>
      <c r="E15" s="152" t="s">
        <v>1771</v>
      </c>
      <c r="F15" s="152" t="s">
        <v>1775</v>
      </c>
      <c r="G15" s="152" t="s">
        <v>1773</v>
      </c>
      <c r="H15" s="152" t="s">
        <v>1774</v>
      </c>
      <c r="I15" s="152" t="s">
        <v>1777</v>
      </c>
      <c r="J15" s="152" t="s">
        <v>1771</v>
      </c>
      <c r="K15" s="152" t="s">
        <v>1776</v>
      </c>
      <c r="L15" s="152" t="s">
        <v>1772</v>
      </c>
      <c r="M15" s="152" t="s">
        <v>1926</v>
      </c>
      <c r="N15" s="152" t="s">
        <v>1949</v>
      </c>
      <c r="O15" s="152" t="s">
        <v>2099</v>
      </c>
      <c r="P15" s="152" t="s">
        <v>2212</v>
      </c>
      <c r="Q15" s="152" t="s">
        <v>1589</v>
      </c>
      <c r="R15" s="152" t="s">
        <v>1589</v>
      </c>
      <c r="S15" s="152" t="s">
        <v>1589</v>
      </c>
      <c r="T15" s="152" t="s">
        <v>1589</v>
      </c>
      <c r="U15" s="152" t="s">
        <v>1589</v>
      </c>
      <c r="V15" s="152" t="s">
        <v>1589</v>
      </c>
    </row>
    <row r="16" spans="1:22" s="124" customFormat="1" x14ac:dyDescent="0.25">
      <c r="A16" s="121" t="str">
        <f t="shared" ca="1" si="0"/>
        <v>Romanian</v>
      </c>
      <c r="C16" s="152" t="s">
        <v>1937</v>
      </c>
      <c r="D16" s="152" t="s">
        <v>2049</v>
      </c>
      <c r="E16" s="152" t="s">
        <v>2049</v>
      </c>
      <c r="F16" s="152" t="s">
        <v>2049</v>
      </c>
      <c r="G16" s="152" t="s">
        <v>2049</v>
      </c>
      <c r="H16" s="152" t="s">
        <v>2049</v>
      </c>
      <c r="I16" s="152" t="s">
        <v>2049</v>
      </c>
      <c r="J16" s="152" t="s">
        <v>2049</v>
      </c>
      <c r="K16" s="152" t="s">
        <v>2049</v>
      </c>
      <c r="L16" s="152" t="s">
        <v>2049</v>
      </c>
      <c r="M16" s="152" t="s">
        <v>2049</v>
      </c>
      <c r="N16" s="152" t="s">
        <v>1950</v>
      </c>
      <c r="O16" s="152" t="s">
        <v>2049</v>
      </c>
      <c r="P16" s="152" t="s">
        <v>2213</v>
      </c>
      <c r="Q16" s="152" t="s">
        <v>1590</v>
      </c>
      <c r="R16" s="152" t="s">
        <v>1590</v>
      </c>
      <c r="S16" s="152" t="s">
        <v>1590</v>
      </c>
      <c r="T16" s="152" t="s">
        <v>1590</v>
      </c>
      <c r="U16" s="152" t="s">
        <v>1590</v>
      </c>
      <c r="V16" s="152" t="s">
        <v>1590</v>
      </c>
    </row>
    <row r="17" spans="1:22" s="124" customFormat="1" x14ac:dyDescent="0.25">
      <c r="A17" s="121" t="str">
        <f t="shared" ca="1" si="0"/>
        <v>Serbian</v>
      </c>
      <c r="C17" s="152" t="s">
        <v>2086</v>
      </c>
      <c r="D17" s="152" t="s">
        <v>2087</v>
      </c>
      <c r="E17" s="152" t="s">
        <v>2087</v>
      </c>
      <c r="F17" s="152" t="s">
        <v>2087</v>
      </c>
      <c r="G17" s="152" t="s">
        <v>2087</v>
      </c>
      <c r="H17" s="152" t="s">
        <v>2087</v>
      </c>
      <c r="I17" s="152" t="s">
        <v>2087</v>
      </c>
      <c r="J17" s="152" t="s">
        <v>2087</v>
      </c>
      <c r="K17" s="152" t="s">
        <v>2087</v>
      </c>
      <c r="L17" s="152" t="s">
        <v>2087</v>
      </c>
      <c r="M17" s="152" t="s">
        <v>2087</v>
      </c>
      <c r="N17" s="152" t="s">
        <v>2087</v>
      </c>
      <c r="O17" s="152" t="s">
        <v>2087</v>
      </c>
      <c r="P17" s="152" t="s">
        <v>2087</v>
      </c>
      <c r="Q17" s="152" t="s">
        <v>1591</v>
      </c>
      <c r="R17" s="152" t="s">
        <v>1591</v>
      </c>
      <c r="S17" s="152" t="s">
        <v>1591</v>
      </c>
      <c r="T17" s="152" t="s">
        <v>1591</v>
      </c>
      <c r="U17" s="152" t="s">
        <v>1591</v>
      </c>
      <c r="V17" s="152" t="s">
        <v>1591</v>
      </c>
    </row>
    <row r="18" spans="1:22" s="124" customFormat="1" x14ac:dyDescent="0.25">
      <c r="A18" s="121" t="str">
        <f t="shared" ca="1" si="0"/>
        <v>Finnnish</v>
      </c>
      <c r="C18" s="152" t="s">
        <v>2200</v>
      </c>
      <c r="D18" s="152" t="s">
        <v>2315</v>
      </c>
      <c r="E18" s="152" t="s">
        <v>2315</v>
      </c>
      <c r="F18" s="152" t="s">
        <v>2315</v>
      </c>
      <c r="G18" s="152" t="s">
        <v>2315</v>
      </c>
      <c r="H18" s="152" t="s">
        <v>2315</v>
      </c>
      <c r="I18" s="152" t="s">
        <v>2315</v>
      </c>
      <c r="J18" s="152" t="s">
        <v>2315</v>
      </c>
      <c r="K18" s="152" t="s">
        <v>2315</v>
      </c>
      <c r="L18" s="152" t="s">
        <v>2315</v>
      </c>
      <c r="M18" s="152" t="s">
        <v>2315</v>
      </c>
      <c r="N18" s="152" t="s">
        <v>2315</v>
      </c>
      <c r="O18" s="152" t="s">
        <v>2315</v>
      </c>
      <c r="P18" s="152" t="s">
        <v>2214</v>
      </c>
      <c r="Q18" s="152" t="s">
        <v>1592</v>
      </c>
      <c r="R18" s="152" t="s">
        <v>1592</v>
      </c>
      <c r="S18" s="152" t="s">
        <v>1592</v>
      </c>
      <c r="T18" s="152" t="s">
        <v>1592</v>
      </c>
      <c r="U18" s="152" t="s">
        <v>1592</v>
      </c>
      <c r="V18" s="152" t="s">
        <v>1592</v>
      </c>
    </row>
    <row r="19" spans="1:22" s="124" customFormat="1" x14ac:dyDescent="0.25">
      <c r="A19" s="121" t="str">
        <f t="shared" ca="1" si="0"/>
        <v/>
      </c>
      <c r="C19" s="152" t="s">
        <v>1593</v>
      </c>
      <c r="D19" s="152" t="s">
        <v>1593</v>
      </c>
      <c r="E19" s="152" t="s">
        <v>1593</v>
      </c>
      <c r="F19" s="152" t="s">
        <v>1593</v>
      </c>
      <c r="G19" s="152" t="s">
        <v>1593</v>
      </c>
      <c r="H19" s="152" t="s">
        <v>1593</v>
      </c>
      <c r="I19" s="152" t="s">
        <v>1593</v>
      </c>
      <c r="J19" s="152" t="s">
        <v>1593</v>
      </c>
      <c r="K19" s="152" t="s">
        <v>1593</v>
      </c>
      <c r="L19" s="152" t="s">
        <v>1593</v>
      </c>
      <c r="M19" s="152" t="s">
        <v>1593</v>
      </c>
      <c r="N19" s="152"/>
      <c r="O19" s="152"/>
      <c r="P19" s="152" t="s">
        <v>1593</v>
      </c>
      <c r="Q19" s="152" t="s">
        <v>1593</v>
      </c>
      <c r="R19" s="152" t="s">
        <v>1593</v>
      </c>
      <c r="S19" s="152" t="s">
        <v>1593</v>
      </c>
      <c r="T19" s="152" t="s">
        <v>1593</v>
      </c>
      <c r="U19" s="152" t="s">
        <v>1593</v>
      </c>
      <c r="V19" s="152" t="s">
        <v>1593</v>
      </c>
    </row>
    <row r="20" spans="1:22" s="124" customFormat="1" x14ac:dyDescent="0.25">
      <c r="A20" s="121" t="str">
        <f t="shared" ca="1" si="0"/>
        <v/>
      </c>
      <c r="C20" s="152" t="s">
        <v>1594</v>
      </c>
      <c r="D20" s="152" t="s">
        <v>1594</v>
      </c>
      <c r="E20" s="152" t="s">
        <v>1594</v>
      </c>
      <c r="F20" s="152" t="s">
        <v>1594</v>
      </c>
      <c r="G20" s="152" t="s">
        <v>1594</v>
      </c>
      <c r="H20" s="152" t="s">
        <v>1594</v>
      </c>
      <c r="I20" s="152" t="s">
        <v>1594</v>
      </c>
      <c r="J20" s="152" t="s">
        <v>1594</v>
      </c>
      <c r="K20" s="152" t="s">
        <v>1594</v>
      </c>
      <c r="L20" s="152" t="s">
        <v>1594</v>
      </c>
      <c r="M20" s="152" t="s">
        <v>1594</v>
      </c>
      <c r="N20" s="152"/>
      <c r="O20" s="152"/>
      <c r="P20" s="152" t="s">
        <v>1594</v>
      </c>
      <c r="Q20" s="152" t="s">
        <v>1594</v>
      </c>
      <c r="R20" s="152" t="s">
        <v>1594</v>
      </c>
      <c r="S20" s="152" t="s">
        <v>1594</v>
      </c>
      <c r="T20" s="152" t="s">
        <v>1594</v>
      </c>
      <c r="U20" s="152" t="s">
        <v>1594</v>
      </c>
      <c r="V20" s="152" t="s">
        <v>1594</v>
      </c>
    </row>
    <row r="21" spans="1:22" s="124" customFormat="1" x14ac:dyDescent="0.25">
      <c r="A21" s="121" t="str">
        <f t="shared" ca="1" si="0"/>
        <v/>
      </c>
      <c r="C21" s="152" t="s">
        <v>1595</v>
      </c>
      <c r="D21" s="152" t="s">
        <v>1595</v>
      </c>
      <c r="E21" s="152" t="s">
        <v>1595</v>
      </c>
      <c r="F21" s="152" t="s">
        <v>1595</v>
      </c>
      <c r="G21" s="152" t="s">
        <v>1595</v>
      </c>
      <c r="H21" s="152" t="s">
        <v>1595</v>
      </c>
      <c r="I21" s="152" t="s">
        <v>1595</v>
      </c>
      <c r="J21" s="152" t="s">
        <v>1595</v>
      </c>
      <c r="K21" s="152" t="s">
        <v>1595</v>
      </c>
      <c r="L21" s="152" t="s">
        <v>1595</v>
      </c>
      <c r="M21" s="152" t="s">
        <v>1595</v>
      </c>
      <c r="N21" s="152"/>
      <c r="O21" s="152"/>
      <c r="P21" s="152" t="s">
        <v>1595</v>
      </c>
      <c r="Q21" s="152" t="s">
        <v>1595</v>
      </c>
      <c r="R21" s="152" t="s">
        <v>1595</v>
      </c>
      <c r="S21" s="152" t="s">
        <v>1595</v>
      </c>
      <c r="T21" s="152" t="s">
        <v>1595</v>
      </c>
      <c r="U21" s="152" t="s">
        <v>1595</v>
      </c>
      <c r="V21" s="152" t="s">
        <v>1595</v>
      </c>
    </row>
    <row r="22" spans="1:22" s="124" customFormat="1" x14ac:dyDescent="0.25">
      <c r="A22" s="121" t="str">
        <f t="shared" ca="1" si="0"/>
        <v/>
      </c>
      <c r="C22" s="152" t="s">
        <v>1596</v>
      </c>
      <c r="D22" s="152" t="s">
        <v>1596</v>
      </c>
      <c r="E22" s="152" t="s">
        <v>1596</v>
      </c>
      <c r="F22" s="152" t="s">
        <v>1596</v>
      </c>
      <c r="G22" s="152" t="s">
        <v>1596</v>
      </c>
      <c r="H22" s="152" t="s">
        <v>1596</v>
      </c>
      <c r="I22" s="152" t="s">
        <v>1596</v>
      </c>
      <c r="J22" s="152" t="s">
        <v>1596</v>
      </c>
      <c r="K22" s="152" t="s">
        <v>1596</v>
      </c>
      <c r="L22" s="152" t="s">
        <v>1596</v>
      </c>
      <c r="M22" s="152" t="s">
        <v>1596</v>
      </c>
      <c r="N22" s="152"/>
      <c r="O22" s="152"/>
      <c r="P22" s="152" t="s">
        <v>1596</v>
      </c>
      <c r="Q22" s="152" t="s">
        <v>1596</v>
      </c>
      <c r="R22" s="152" t="s">
        <v>1596</v>
      </c>
      <c r="S22" s="152" t="s">
        <v>1596</v>
      </c>
      <c r="T22" s="152" t="s">
        <v>1596</v>
      </c>
      <c r="U22" s="152" t="s">
        <v>1596</v>
      </c>
      <c r="V22" s="152" t="s">
        <v>1596</v>
      </c>
    </row>
    <row r="23" spans="1:22" s="124" customFormat="1" x14ac:dyDescent="0.25">
      <c r="A23" s="121" t="str">
        <f t="shared" ca="1" si="0"/>
        <v/>
      </c>
      <c r="C23" s="152" t="s">
        <v>1597</v>
      </c>
      <c r="D23" s="152" t="s">
        <v>1597</v>
      </c>
      <c r="E23" s="152" t="s">
        <v>1597</v>
      </c>
      <c r="F23" s="152" t="s">
        <v>1597</v>
      </c>
      <c r="G23" s="152" t="s">
        <v>1597</v>
      </c>
      <c r="H23" s="152" t="s">
        <v>1597</v>
      </c>
      <c r="I23" s="152" t="s">
        <v>1597</v>
      </c>
      <c r="J23" s="152" t="s">
        <v>1597</v>
      </c>
      <c r="K23" s="152" t="s">
        <v>1597</v>
      </c>
      <c r="L23" s="152" t="s">
        <v>1597</v>
      </c>
      <c r="M23" s="152" t="s">
        <v>1597</v>
      </c>
      <c r="N23" s="152"/>
      <c r="O23" s="152"/>
      <c r="P23" s="152" t="s">
        <v>1597</v>
      </c>
      <c r="Q23" s="152" t="s">
        <v>1597</v>
      </c>
      <c r="R23" s="152" t="s">
        <v>1597</v>
      </c>
      <c r="S23" s="152" t="s">
        <v>1597</v>
      </c>
      <c r="T23" s="152" t="s">
        <v>1597</v>
      </c>
      <c r="U23" s="152" t="s">
        <v>1597</v>
      </c>
      <c r="V23" s="152" t="s">
        <v>1597</v>
      </c>
    </row>
    <row r="24" spans="1:22" s="124" customFormat="1" x14ac:dyDescent="0.25">
      <c r="A24" s="121" t="str">
        <f t="shared" ca="1" si="0"/>
        <v/>
      </c>
      <c r="C24" s="152" t="s">
        <v>1598</v>
      </c>
      <c r="D24" s="152" t="s">
        <v>1598</v>
      </c>
      <c r="E24" s="152" t="s">
        <v>1598</v>
      </c>
      <c r="F24" s="152" t="s">
        <v>1598</v>
      </c>
      <c r="G24" s="152" t="s">
        <v>1598</v>
      </c>
      <c r="H24" s="152" t="s">
        <v>1598</v>
      </c>
      <c r="I24" s="152" t="s">
        <v>1598</v>
      </c>
      <c r="J24" s="152" t="s">
        <v>1598</v>
      </c>
      <c r="K24" s="152" t="s">
        <v>1598</v>
      </c>
      <c r="L24" s="152" t="s">
        <v>1598</v>
      </c>
      <c r="M24" s="152" t="s">
        <v>1598</v>
      </c>
      <c r="N24" s="152"/>
      <c r="O24" s="152"/>
      <c r="P24" s="152" t="s">
        <v>1598</v>
      </c>
      <c r="Q24" s="152" t="s">
        <v>1598</v>
      </c>
      <c r="R24" s="152" t="s">
        <v>1598</v>
      </c>
      <c r="S24" s="152" t="s">
        <v>1598</v>
      </c>
      <c r="T24" s="152" t="s">
        <v>1598</v>
      </c>
      <c r="U24" s="152" t="s">
        <v>1598</v>
      </c>
      <c r="V24" s="152" t="s">
        <v>1598</v>
      </c>
    </row>
    <row r="25" spans="1:22" s="124" customFormat="1" x14ac:dyDescent="0.25">
      <c r="A25" s="121" t="str">
        <f t="shared" ref="A25:A56" ca="1" si="1">OFFSET(B25,0,$B$2,1,1)</f>
        <v>Складной подъемник</v>
      </c>
      <c r="C25" s="122" t="s">
        <v>123</v>
      </c>
      <c r="D25" s="122" t="s">
        <v>128</v>
      </c>
      <c r="E25" s="122" t="s">
        <v>232</v>
      </c>
      <c r="F25" s="122" t="s">
        <v>236</v>
      </c>
      <c r="G25" s="122" t="s">
        <v>251</v>
      </c>
      <c r="H25" s="122" t="s">
        <v>271</v>
      </c>
      <c r="I25" s="122" t="s">
        <v>874</v>
      </c>
      <c r="J25" s="122" t="s">
        <v>1090</v>
      </c>
      <c r="K25" s="122" t="s">
        <v>1220</v>
      </c>
      <c r="L25" s="122" t="s">
        <v>1383</v>
      </c>
      <c r="M25" s="329" t="s">
        <v>1783</v>
      </c>
      <c r="N25" s="122" t="s">
        <v>1951</v>
      </c>
      <c r="O25" s="122" t="s">
        <v>2100</v>
      </c>
      <c r="P25" s="329" t="s">
        <v>2215</v>
      </c>
      <c r="Q25" s="122"/>
      <c r="R25" s="122"/>
      <c r="S25" s="122"/>
      <c r="T25" s="122"/>
      <c r="U25" s="122"/>
      <c r="V25" s="122"/>
    </row>
    <row r="26" spans="1:22" s="124" customFormat="1" x14ac:dyDescent="0.25">
      <c r="A26" s="121" t="str">
        <f t="shared" ca="1" si="1"/>
        <v>http://www.grass.at/fileadmin/downloads/DEU/Bedienungsanleitungen/Kinvaro/Kinvaro_F-20_Einbauanleitung_2_Generation.pdf</v>
      </c>
      <c r="C26" s="128" t="s">
        <v>183</v>
      </c>
      <c r="D26" s="128" t="s">
        <v>186</v>
      </c>
      <c r="E26" s="128" t="s">
        <v>186</v>
      </c>
      <c r="F26" s="128" t="s">
        <v>186</v>
      </c>
      <c r="G26" s="128" t="s">
        <v>186</v>
      </c>
      <c r="H26" s="128" t="s">
        <v>186</v>
      </c>
      <c r="I26" s="128" t="s">
        <v>875</v>
      </c>
      <c r="J26" s="128" t="s">
        <v>183</v>
      </c>
      <c r="K26" s="122" t="s">
        <v>186</v>
      </c>
      <c r="L26" s="128" t="s">
        <v>1512</v>
      </c>
      <c r="M26" s="128" t="s">
        <v>1784</v>
      </c>
      <c r="N26" s="329" t="s">
        <v>186</v>
      </c>
      <c r="O26" s="122"/>
      <c r="P26" s="329"/>
      <c r="Q26" s="122"/>
      <c r="R26" s="122"/>
      <c r="S26" s="122"/>
      <c r="T26" s="122"/>
      <c r="U26" s="122"/>
      <c r="V26" s="122"/>
    </row>
    <row r="27" spans="1:22" s="124" customFormat="1" x14ac:dyDescent="0.25">
      <c r="A27" s="121" t="str">
        <f t="shared" ca="1" si="1"/>
        <v>F-20</v>
      </c>
      <c r="C27" s="122" t="s">
        <v>124</v>
      </c>
      <c r="D27" s="122" t="s">
        <v>124</v>
      </c>
      <c r="E27" s="122" t="s">
        <v>124</v>
      </c>
      <c r="F27" s="122" t="s">
        <v>124</v>
      </c>
      <c r="G27" s="122" t="s">
        <v>124</v>
      </c>
      <c r="H27" s="122" t="s">
        <v>124</v>
      </c>
      <c r="I27" s="122" t="s">
        <v>124</v>
      </c>
      <c r="J27" s="122" t="s">
        <v>124</v>
      </c>
      <c r="K27" s="122" t="s">
        <v>124</v>
      </c>
      <c r="L27" s="122" t="s">
        <v>1384</v>
      </c>
      <c r="M27" s="329" t="s">
        <v>124</v>
      </c>
      <c r="N27" s="329" t="s">
        <v>124</v>
      </c>
      <c r="O27" s="122" t="s">
        <v>124</v>
      </c>
      <c r="P27" s="329" t="s">
        <v>124</v>
      </c>
      <c r="Q27" s="122"/>
      <c r="R27" s="122"/>
      <c r="S27" s="122"/>
      <c r="T27" s="122"/>
      <c r="U27" s="122"/>
      <c r="V27" s="122"/>
    </row>
    <row r="28" spans="1:22" s="126" customFormat="1" ht="180.75" thickBot="1" x14ac:dyDescent="0.3">
      <c r="A28" s="126" t="str">
        <f t="shared" ca="1" si="1"/>
        <v>• Для навесных шкафов с раздельными фасадами
• Очень легкий ход
• Возможность использования с фасадами без ручек
• Встроенный регулируемый демпфер</v>
      </c>
      <c r="C28" s="149" t="s">
        <v>125</v>
      </c>
      <c r="D28" s="149" t="s">
        <v>212</v>
      </c>
      <c r="E28" s="149" t="s">
        <v>214</v>
      </c>
      <c r="F28" s="149" t="s">
        <v>235</v>
      </c>
      <c r="G28" s="149" t="s">
        <v>253</v>
      </c>
      <c r="H28" s="149" t="s">
        <v>273</v>
      </c>
      <c r="I28" s="133" t="s">
        <v>876</v>
      </c>
      <c r="J28" s="133" t="s">
        <v>1091</v>
      </c>
      <c r="K28" s="133" t="s">
        <v>1221</v>
      </c>
      <c r="L28" s="149" t="s">
        <v>1385</v>
      </c>
      <c r="M28" s="149" t="s">
        <v>1785</v>
      </c>
      <c r="N28" s="133" t="s">
        <v>1952</v>
      </c>
      <c r="O28" s="133" t="s">
        <v>2101</v>
      </c>
      <c r="P28" s="149" t="s">
        <v>2216</v>
      </c>
      <c r="Q28" s="133"/>
      <c r="R28" s="133"/>
      <c r="S28" s="133"/>
      <c r="T28" s="133"/>
      <c r="U28" s="133"/>
      <c r="V28" s="133"/>
    </row>
    <row r="29" spans="1:22" x14ac:dyDescent="0.25">
      <c r="A29" s="121" t="str">
        <f t="shared" ca="1" si="1"/>
        <v>Вертикальный подъемник</v>
      </c>
      <c r="C29" s="122" t="s">
        <v>118</v>
      </c>
      <c r="D29" s="122" t="s">
        <v>129</v>
      </c>
      <c r="E29" s="122" t="s">
        <v>231</v>
      </c>
      <c r="F29" s="122" t="s">
        <v>237</v>
      </c>
      <c r="G29" s="122" t="s">
        <v>254</v>
      </c>
      <c r="H29" s="122" t="s">
        <v>274</v>
      </c>
      <c r="I29" s="122" t="s">
        <v>877</v>
      </c>
      <c r="J29" s="122" t="s">
        <v>1092</v>
      </c>
      <c r="K29" s="122" t="s">
        <v>1222</v>
      </c>
      <c r="L29" s="122" t="s">
        <v>1386</v>
      </c>
      <c r="M29" s="329" t="s">
        <v>1786</v>
      </c>
      <c r="N29" s="122" t="s">
        <v>1953</v>
      </c>
      <c r="O29" s="122" t="s">
        <v>2102</v>
      </c>
      <c r="P29" s="329" t="s">
        <v>2217</v>
      </c>
      <c r="Q29" s="122"/>
      <c r="R29" s="122"/>
      <c r="S29" s="122"/>
      <c r="T29" s="122"/>
      <c r="U29" s="122"/>
      <c r="V29" s="122"/>
    </row>
    <row r="30" spans="1:22" x14ac:dyDescent="0.25">
      <c r="A30" s="121" t="str">
        <f t="shared" ca="1" si="1"/>
        <v>http://www.grass.at/fileadmin/downloads/DEU/Bedienungsanleitungen/Kinvaro/Kinvaro_L-80_Einbauanleitung_2._Generation.pdf</v>
      </c>
      <c r="C30" s="128" t="s">
        <v>185</v>
      </c>
      <c r="D30" s="128" t="s">
        <v>186</v>
      </c>
      <c r="E30" s="128" t="s">
        <v>186</v>
      </c>
      <c r="F30" s="128" t="s">
        <v>186</v>
      </c>
      <c r="G30" s="128" t="s">
        <v>186</v>
      </c>
      <c r="H30" s="128" t="s">
        <v>186</v>
      </c>
      <c r="I30" s="128" t="s">
        <v>186</v>
      </c>
      <c r="J30" s="128" t="s">
        <v>185</v>
      </c>
      <c r="K30" s="122" t="s">
        <v>186</v>
      </c>
      <c r="L30" s="128" t="s">
        <v>1513</v>
      </c>
      <c r="M30" s="128" t="s">
        <v>1787</v>
      </c>
      <c r="N30" s="329" t="s">
        <v>186</v>
      </c>
      <c r="O30" s="122"/>
      <c r="P30" s="329"/>
      <c r="Q30" s="122"/>
      <c r="R30" s="122"/>
      <c r="S30" s="122"/>
      <c r="T30" s="122"/>
      <c r="U30" s="122"/>
      <c r="V30" s="122"/>
    </row>
    <row r="31" spans="1:22" x14ac:dyDescent="0.25">
      <c r="A31" s="121" t="str">
        <f t="shared" ca="1" si="1"/>
        <v>L-80</v>
      </c>
      <c r="C31" s="122" t="s">
        <v>117</v>
      </c>
      <c r="D31" s="122" t="s">
        <v>117</v>
      </c>
      <c r="E31" s="122" t="s">
        <v>117</v>
      </c>
      <c r="F31" s="122" t="s">
        <v>117</v>
      </c>
      <c r="G31" s="122" t="s">
        <v>117</v>
      </c>
      <c r="H31" s="122" t="s">
        <v>117</v>
      </c>
      <c r="I31" s="122" t="s">
        <v>117</v>
      </c>
      <c r="J31" s="122" t="s">
        <v>117</v>
      </c>
      <c r="K31" s="122" t="s">
        <v>117</v>
      </c>
      <c r="L31" s="122" t="s">
        <v>1387</v>
      </c>
      <c r="M31" s="329" t="s">
        <v>117</v>
      </c>
      <c r="N31" s="122" t="s">
        <v>117</v>
      </c>
      <c r="O31" s="122" t="s">
        <v>117</v>
      </c>
      <c r="P31" s="329" t="s">
        <v>117</v>
      </c>
      <c r="Q31" s="122"/>
      <c r="R31" s="122"/>
      <c r="S31" s="122"/>
      <c r="T31" s="122"/>
      <c r="U31" s="122"/>
      <c r="V31" s="122"/>
    </row>
    <row r="32" spans="1:22" s="123" customFormat="1" ht="102.75" customHeight="1" thickBot="1" x14ac:dyDescent="0.3">
      <c r="A32" s="127" t="str">
        <f t="shared" ca="1" si="1"/>
        <v>• Открывается параллельно корпусу
• Подходит для установки электроприборов и шкафов
   с верхними накладными планками, карнизами и навесными
   светильниками
• Чрезвычайно легкий ход
• Высокая стабильность
• Встроенный регулируемый демпфер</v>
      </c>
      <c r="C32" s="149" t="s">
        <v>530</v>
      </c>
      <c r="D32" s="149" t="s">
        <v>549</v>
      </c>
      <c r="E32" s="149" t="s">
        <v>550</v>
      </c>
      <c r="F32" s="149" t="s">
        <v>532</v>
      </c>
      <c r="G32" s="149" t="s">
        <v>523</v>
      </c>
      <c r="H32" s="149" t="s">
        <v>276</v>
      </c>
      <c r="I32" s="133" t="s">
        <v>1530</v>
      </c>
      <c r="J32" s="133" t="s">
        <v>1093</v>
      </c>
      <c r="K32" s="122" t="s">
        <v>1223</v>
      </c>
      <c r="L32" s="149" t="s">
        <v>1388</v>
      </c>
      <c r="M32" s="149" t="s">
        <v>1788</v>
      </c>
      <c r="N32" s="122" t="s">
        <v>1954</v>
      </c>
      <c r="O32" s="122" t="s">
        <v>2103</v>
      </c>
      <c r="P32" s="149" t="s">
        <v>2218</v>
      </c>
      <c r="Q32" s="122"/>
      <c r="R32" s="122"/>
      <c r="S32" s="122"/>
      <c r="T32" s="122"/>
      <c r="U32" s="122"/>
      <c r="V32" s="122"/>
    </row>
    <row r="33" spans="1:22" x14ac:dyDescent="0.25">
      <c r="A33" s="121" t="str">
        <f t="shared" ca="1" si="1"/>
        <v>Откидной подъемник</v>
      </c>
      <c r="C33" s="122" t="s">
        <v>127</v>
      </c>
      <c r="D33" s="122" t="s">
        <v>130</v>
      </c>
      <c r="E33" s="122" t="s">
        <v>712</v>
      </c>
      <c r="F33" s="122" t="s">
        <v>239</v>
      </c>
      <c r="G33" s="122" t="s">
        <v>256</v>
      </c>
      <c r="H33" s="122" t="s">
        <v>277</v>
      </c>
      <c r="I33" s="122" t="s">
        <v>878</v>
      </c>
      <c r="J33" s="122" t="s">
        <v>1094</v>
      </c>
      <c r="K33" s="122" t="s">
        <v>1224</v>
      </c>
      <c r="L33" s="122" t="s">
        <v>1389</v>
      </c>
      <c r="M33" s="329" t="s">
        <v>1783</v>
      </c>
      <c r="N33" s="122" t="s">
        <v>1955</v>
      </c>
      <c r="O33" s="122" t="s">
        <v>2104</v>
      </c>
      <c r="P33" s="329" t="s">
        <v>2219</v>
      </c>
      <c r="Q33" s="122"/>
      <c r="R33" s="122"/>
      <c r="S33" s="122"/>
      <c r="T33" s="122"/>
      <c r="U33" s="122"/>
      <c r="V33" s="122"/>
    </row>
    <row r="34" spans="1:22" x14ac:dyDescent="0.25">
      <c r="A34" s="121" t="str">
        <f t="shared" ca="1" si="1"/>
        <v>http://www.grass.at/fileadmin/downloads/DEU/Bedienungsanleitungen/Kinvaro/Kinvaro_S-35_Einbauanleitung_2_Generation.pdf</v>
      </c>
      <c r="C34" s="128" t="s">
        <v>184</v>
      </c>
      <c r="D34" s="128" t="s">
        <v>186</v>
      </c>
      <c r="E34" s="128" t="s">
        <v>186</v>
      </c>
      <c r="F34" s="128" t="s">
        <v>186</v>
      </c>
      <c r="G34" s="128" t="s">
        <v>186</v>
      </c>
      <c r="H34" s="128" t="s">
        <v>186</v>
      </c>
      <c r="I34" s="128" t="s">
        <v>186</v>
      </c>
      <c r="J34" s="128" t="s">
        <v>184</v>
      </c>
      <c r="K34" s="122" t="s">
        <v>186</v>
      </c>
      <c r="L34" s="128" t="s">
        <v>1514</v>
      </c>
      <c r="M34" s="128" t="s">
        <v>1789</v>
      </c>
      <c r="N34" s="329" t="s">
        <v>186</v>
      </c>
      <c r="O34" s="122"/>
      <c r="P34" s="329"/>
      <c r="Q34" s="122"/>
      <c r="R34" s="122"/>
      <c r="S34" s="122"/>
      <c r="T34" s="122"/>
      <c r="U34" s="122"/>
      <c r="V34" s="122"/>
    </row>
    <row r="35" spans="1:22" x14ac:dyDescent="0.25">
      <c r="A35" s="121" t="str">
        <f t="shared" ca="1" si="1"/>
        <v>S-35</v>
      </c>
      <c r="C35" s="122" t="s">
        <v>126</v>
      </c>
      <c r="D35" s="122" t="s">
        <v>126</v>
      </c>
      <c r="E35" s="122" t="s">
        <v>126</v>
      </c>
      <c r="F35" s="122" t="s">
        <v>126</v>
      </c>
      <c r="G35" s="122" t="s">
        <v>126</v>
      </c>
      <c r="H35" s="122" t="s">
        <v>126</v>
      </c>
      <c r="I35" s="122" t="s">
        <v>126</v>
      </c>
      <c r="J35" s="122" t="s">
        <v>126</v>
      </c>
      <c r="K35" s="122" t="s">
        <v>126</v>
      </c>
      <c r="L35" s="122" t="s">
        <v>1390</v>
      </c>
      <c r="M35" s="329" t="s">
        <v>126</v>
      </c>
      <c r="N35" s="122" t="s">
        <v>126</v>
      </c>
      <c r="O35" s="122" t="s">
        <v>126</v>
      </c>
      <c r="P35" s="329" t="s">
        <v>126</v>
      </c>
      <c r="Q35" s="122"/>
      <c r="R35" s="122"/>
      <c r="S35" s="122"/>
      <c r="T35" s="122"/>
      <c r="U35" s="122"/>
      <c r="V35" s="122"/>
    </row>
    <row r="36" spans="1:22" s="126" customFormat="1" ht="195.75" thickBot="1" x14ac:dyDescent="0.3">
      <c r="A36" s="126" t="str">
        <f t="shared" ca="1" si="1"/>
        <v>• Откидывается над корпусом
• Подходит для шкафов с верхними накладными планками,
    карнизами и навесными светильниками
• Чрезвычайно легкий ход
• Высокая стабильность
• Встроенный регулируемый демпфер</v>
      </c>
      <c r="C36" s="149" t="s">
        <v>531</v>
      </c>
      <c r="D36" s="149" t="s">
        <v>541</v>
      </c>
      <c r="E36" s="149" t="s">
        <v>544</v>
      </c>
      <c r="F36" s="150" t="s">
        <v>240</v>
      </c>
      <c r="G36" s="149" t="s">
        <v>258</v>
      </c>
      <c r="H36" s="149" t="s">
        <v>538</v>
      </c>
      <c r="I36" s="133" t="s">
        <v>879</v>
      </c>
      <c r="J36" s="133" t="s">
        <v>1095</v>
      </c>
      <c r="K36" s="133" t="s">
        <v>1225</v>
      </c>
      <c r="L36" s="149" t="s">
        <v>1391</v>
      </c>
      <c r="M36" s="149" t="s">
        <v>1790</v>
      </c>
      <c r="N36" s="133" t="s">
        <v>1956</v>
      </c>
      <c r="O36" s="133" t="s">
        <v>2198</v>
      </c>
      <c r="P36" s="149" t="s">
        <v>2220</v>
      </c>
      <c r="Q36" s="133"/>
      <c r="R36" s="133"/>
      <c r="S36" s="133"/>
      <c r="T36" s="133"/>
      <c r="U36" s="133"/>
      <c r="V36" s="133"/>
    </row>
    <row r="37" spans="1:22" x14ac:dyDescent="0.25">
      <c r="A37" s="121" t="str">
        <f t="shared" ca="1" si="1"/>
        <v>Поворотный подъемник</v>
      </c>
      <c r="C37" s="122" t="s">
        <v>131</v>
      </c>
      <c r="D37" s="122" t="s">
        <v>210</v>
      </c>
      <c r="E37" s="122" t="s">
        <v>230</v>
      </c>
      <c r="F37" s="122" t="s">
        <v>241</v>
      </c>
      <c r="G37" s="122" t="s">
        <v>259</v>
      </c>
      <c r="H37" s="122" t="s">
        <v>279</v>
      </c>
      <c r="I37" s="122" t="s">
        <v>880</v>
      </c>
      <c r="J37" s="122" t="s">
        <v>1096</v>
      </c>
      <c r="K37" s="122" t="s">
        <v>1220</v>
      </c>
      <c r="L37" s="122" t="s">
        <v>1392</v>
      </c>
      <c r="M37" s="329" t="s">
        <v>210</v>
      </c>
      <c r="N37" s="122" t="s">
        <v>1957</v>
      </c>
      <c r="O37" s="122" t="s">
        <v>2105</v>
      </c>
      <c r="P37" s="329" t="s">
        <v>2221</v>
      </c>
      <c r="Q37" s="122"/>
      <c r="R37" s="122"/>
      <c r="S37" s="122"/>
      <c r="T37" s="122"/>
      <c r="U37" s="122"/>
      <c r="V37" s="122"/>
    </row>
    <row r="38" spans="1:22" x14ac:dyDescent="0.25">
      <c r="A38" s="121" t="str">
        <f t="shared" ca="1" si="1"/>
        <v>http://www.grass.at</v>
      </c>
      <c r="C38" s="128" t="s">
        <v>186</v>
      </c>
      <c r="D38" s="128" t="s">
        <v>186</v>
      </c>
      <c r="E38" s="128" t="s">
        <v>186</v>
      </c>
      <c r="F38" s="128" t="s">
        <v>186</v>
      </c>
      <c r="G38" s="128" t="s">
        <v>186</v>
      </c>
      <c r="H38" s="128" t="s">
        <v>186</v>
      </c>
      <c r="I38" s="128" t="s">
        <v>186</v>
      </c>
      <c r="J38" s="128" t="s">
        <v>186</v>
      </c>
      <c r="K38" s="122" t="s">
        <v>186</v>
      </c>
      <c r="L38" s="128" t="s">
        <v>1515</v>
      </c>
      <c r="M38" s="128" t="s">
        <v>1791</v>
      </c>
      <c r="N38" s="329" t="s">
        <v>186</v>
      </c>
      <c r="O38" s="122"/>
      <c r="P38" s="329"/>
      <c r="Q38" s="122"/>
      <c r="R38" s="122"/>
      <c r="S38" s="122"/>
      <c r="T38" s="122"/>
      <c r="U38" s="122"/>
      <c r="V38" s="122"/>
    </row>
    <row r="39" spans="1:22" x14ac:dyDescent="0.25">
      <c r="A39" s="121" t="str">
        <f t="shared" ca="1" si="1"/>
        <v>T-65</v>
      </c>
      <c r="C39" s="122" t="s">
        <v>132</v>
      </c>
      <c r="D39" s="122" t="s">
        <v>132</v>
      </c>
      <c r="E39" s="122" t="s">
        <v>132</v>
      </c>
      <c r="F39" s="122" t="s">
        <v>132</v>
      </c>
      <c r="G39" s="122" t="s">
        <v>132</v>
      </c>
      <c r="H39" s="122" t="s">
        <v>132</v>
      </c>
      <c r="I39" s="122" t="s">
        <v>132</v>
      </c>
      <c r="J39" s="122" t="s">
        <v>132</v>
      </c>
      <c r="K39" s="122" t="s">
        <v>132</v>
      </c>
      <c r="L39" s="122" t="s">
        <v>1393</v>
      </c>
      <c r="M39" s="329" t="s">
        <v>1792</v>
      </c>
      <c r="N39" s="122"/>
      <c r="O39" s="122" t="s">
        <v>132</v>
      </c>
      <c r="P39" s="329" t="s">
        <v>132</v>
      </c>
      <c r="Q39" s="122"/>
      <c r="R39" s="122"/>
      <c r="S39" s="122"/>
      <c r="T39" s="122"/>
      <c r="U39" s="122"/>
      <c r="V39" s="122"/>
    </row>
    <row r="40" spans="1:22" s="126" customFormat="1" ht="93" customHeight="1" thickBot="1" x14ac:dyDescent="0.3">
      <c r="A40" s="126" t="str">
        <f t="shared" ca="1" si="1"/>
        <v xml:space="preserve">• Подходит для шкафов с другими корпусами сверху
• Надежно удерживает створку в любом положении от 45° до
   100°
• Для легких и средних створок
• Встроенный регулируемый демпфер
</v>
      </c>
      <c r="C40" s="149" t="s">
        <v>134</v>
      </c>
      <c r="D40" s="149" t="s">
        <v>548</v>
      </c>
      <c r="E40" s="149" t="s">
        <v>217</v>
      </c>
      <c r="F40" s="149" t="s">
        <v>533</v>
      </c>
      <c r="G40" s="149" t="s">
        <v>524</v>
      </c>
      <c r="H40" s="149" t="s">
        <v>539</v>
      </c>
      <c r="I40" s="133" t="s">
        <v>881</v>
      </c>
      <c r="J40" s="133" t="s">
        <v>1097</v>
      </c>
      <c r="K40" s="133" t="s">
        <v>1226</v>
      </c>
      <c r="L40" s="149" t="s">
        <v>1394</v>
      </c>
      <c r="M40" s="149" t="s">
        <v>1793</v>
      </c>
      <c r="N40" s="133" t="s">
        <v>1958</v>
      </c>
      <c r="O40" s="133" t="s">
        <v>2106</v>
      </c>
      <c r="P40" s="149" t="s">
        <v>2222</v>
      </c>
      <c r="Q40" s="133"/>
      <c r="R40" s="133"/>
      <c r="S40" s="133"/>
      <c r="T40" s="133"/>
      <c r="U40" s="133"/>
      <c r="V40" s="133"/>
    </row>
    <row r="41" spans="1:22" x14ac:dyDescent="0.25">
      <c r="A41" s="129" t="str">
        <f t="shared" ca="1" si="1"/>
        <v>T-70</v>
      </c>
      <c r="C41" s="122" t="s">
        <v>133</v>
      </c>
      <c r="D41" s="122" t="s">
        <v>133</v>
      </c>
      <c r="E41" s="122" t="s">
        <v>133</v>
      </c>
      <c r="F41" s="122" t="s">
        <v>133</v>
      </c>
      <c r="G41" s="122" t="s">
        <v>133</v>
      </c>
      <c r="H41" s="122" t="s">
        <v>133</v>
      </c>
      <c r="I41" s="122" t="s">
        <v>133</v>
      </c>
      <c r="J41" s="122" t="s">
        <v>133</v>
      </c>
      <c r="K41" s="122" t="s">
        <v>133</v>
      </c>
      <c r="L41" s="122" t="s">
        <v>1395</v>
      </c>
      <c r="M41" s="329" t="s">
        <v>1794</v>
      </c>
      <c r="N41" s="122" t="s">
        <v>133</v>
      </c>
      <c r="O41" s="122" t="s">
        <v>133</v>
      </c>
      <c r="P41" s="329" t="s">
        <v>133</v>
      </c>
      <c r="Q41" s="122"/>
      <c r="R41" s="122"/>
      <c r="S41" s="122"/>
      <c r="T41" s="122"/>
      <c r="U41" s="122"/>
      <c r="V41" s="122"/>
    </row>
    <row r="42" spans="1:22" x14ac:dyDescent="0.25">
      <c r="A42" s="121" t="str">
        <f t="shared" ca="1" si="1"/>
        <v>http://www.grass.at</v>
      </c>
      <c r="C42" s="128" t="s">
        <v>186</v>
      </c>
      <c r="D42" s="122" t="s">
        <v>186</v>
      </c>
      <c r="E42" s="122" t="s">
        <v>186</v>
      </c>
      <c r="F42" s="122" t="s">
        <v>186</v>
      </c>
      <c r="G42" s="122" t="s">
        <v>186</v>
      </c>
      <c r="H42" s="122" t="s">
        <v>186</v>
      </c>
      <c r="I42" s="128" t="s">
        <v>186</v>
      </c>
      <c r="J42" s="128" t="s">
        <v>186</v>
      </c>
      <c r="K42" s="122" t="s">
        <v>186</v>
      </c>
      <c r="L42" s="128" t="s">
        <v>1515</v>
      </c>
      <c r="M42" s="128" t="s">
        <v>186</v>
      </c>
      <c r="N42" s="122"/>
      <c r="O42" s="122"/>
      <c r="P42" s="329"/>
      <c r="Q42" s="122"/>
      <c r="R42" s="122"/>
      <c r="S42" s="122"/>
      <c r="T42" s="122"/>
      <c r="U42" s="122"/>
      <c r="V42" s="122"/>
    </row>
    <row r="43" spans="1:22" s="123" customFormat="1" ht="71.25" customHeight="1" thickBot="1" x14ac:dyDescent="0.3">
      <c r="A43" s="126" t="str">
        <f t="shared" ca="1" si="1"/>
        <v>• Подходит для шкафов с другими корпусами сверху
• Надежно удерживает створку в любом положении от 45° до
   100°
• Встроенный регулируемый демпфер
• Широкая область применения</v>
      </c>
      <c r="C43" s="149" t="s">
        <v>269</v>
      </c>
      <c r="D43" s="149" t="s">
        <v>547</v>
      </c>
      <c r="E43" s="149" t="s">
        <v>219</v>
      </c>
      <c r="F43" s="149" t="s">
        <v>534</v>
      </c>
      <c r="G43" s="149" t="s">
        <v>525</v>
      </c>
      <c r="H43" s="149" t="s">
        <v>540</v>
      </c>
      <c r="I43" s="133" t="s">
        <v>882</v>
      </c>
      <c r="J43" s="133" t="s">
        <v>1098</v>
      </c>
      <c r="K43" s="122" t="s">
        <v>1227</v>
      </c>
      <c r="L43" s="149" t="s">
        <v>1396</v>
      </c>
      <c r="M43" s="149" t="s">
        <v>1795</v>
      </c>
      <c r="N43" s="122" t="s">
        <v>1959</v>
      </c>
      <c r="O43" s="122" t="s">
        <v>2107</v>
      </c>
      <c r="P43" s="149" t="s">
        <v>2223</v>
      </c>
      <c r="Q43" s="122"/>
      <c r="R43" s="122"/>
      <c r="S43" s="122"/>
      <c r="T43" s="122"/>
      <c r="U43" s="122"/>
      <c r="V43" s="122"/>
    </row>
    <row r="44" spans="1:22" x14ac:dyDescent="0.25">
      <c r="A44" s="121" t="str">
        <f t="shared" ca="1" si="1"/>
        <v>T-71</v>
      </c>
      <c r="C44" s="122" t="s">
        <v>135</v>
      </c>
      <c r="D44" s="122" t="s">
        <v>135</v>
      </c>
      <c r="E44" s="122" t="s">
        <v>135</v>
      </c>
      <c r="F44" s="122" t="s">
        <v>135</v>
      </c>
      <c r="G44" s="122" t="s">
        <v>135</v>
      </c>
      <c r="H44" s="122" t="s">
        <v>135</v>
      </c>
      <c r="I44" s="122" t="s">
        <v>135</v>
      </c>
      <c r="J44" s="329" t="s">
        <v>135</v>
      </c>
      <c r="K44" s="122" t="s">
        <v>135</v>
      </c>
      <c r="L44" s="122" t="s">
        <v>1397</v>
      </c>
      <c r="M44" s="329" t="s">
        <v>135</v>
      </c>
      <c r="N44" s="122" t="s">
        <v>135</v>
      </c>
      <c r="O44" s="122" t="s">
        <v>135</v>
      </c>
      <c r="P44" s="329" t="s">
        <v>135</v>
      </c>
      <c r="Q44" s="122"/>
      <c r="R44" s="122"/>
      <c r="S44" s="122"/>
      <c r="T44" s="122"/>
      <c r="U44" s="122"/>
      <c r="V44" s="122"/>
    </row>
    <row r="45" spans="1:22" x14ac:dyDescent="0.25">
      <c r="A45" s="121" t="str">
        <f t="shared" ca="1" si="1"/>
        <v>http://www.grass.at</v>
      </c>
      <c r="C45" s="128" t="s">
        <v>186</v>
      </c>
      <c r="D45" s="122" t="s">
        <v>186</v>
      </c>
      <c r="E45" s="122" t="s">
        <v>186</v>
      </c>
      <c r="F45" s="122" t="s">
        <v>186</v>
      </c>
      <c r="G45" s="122" t="s">
        <v>186</v>
      </c>
      <c r="H45" s="122" t="s">
        <v>186</v>
      </c>
      <c r="I45" s="128" t="s">
        <v>186</v>
      </c>
      <c r="J45" s="128" t="s">
        <v>186</v>
      </c>
      <c r="K45" s="122" t="s">
        <v>186</v>
      </c>
      <c r="L45" s="128" t="s">
        <v>1515</v>
      </c>
      <c r="M45" s="128" t="s">
        <v>186</v>
      </c>
      <c r="N45" s="329" t="s">
        <v>186</v>
      </c>
      <c r="O45" s="122"/>
      <c r="P45" s="329"/>
      <c r="Q45" s="122"/>
      <c r="R45" s="122"/>
      <c r="S45" s="122"/>
      <c r="T45" s="122"/>
      <c r="U45" s="122"/>
      <c r="V45" s="122"/>
    </row>
    <row r="46" spans="1:22" s="126" customFormat="1" ht="96.75" customHeight="1" thickBot="1" x14ac:dyDescent="0.3">
      <c r="A46" s="126" t="str">
        <f t="shared" ca="1" si="1"/>
        <v>• Подходит для шкафов с другими корпусами сверху
• Надежно удерживает створку в любом положении от 45°
   до 100°
• Непосредственная 3-мерная регулировка фасада
• Установка с использованием зажимов
• Широкая область применения
• Встроенный регулируемый демпфер</v>
      </c>
      <c r="C46" s="149" t="s">
        <v>136</v>
      </c>
      <c r="D46" s="149" t="s">
        <v>542</v>
      </c>
      <c r="E46" s="149" t="s">
        <v>1531</v>
      </c>
      <c r="F46" s="149" t="s">
        <v>535</v>
      </c>
      <c r="G46" s="149" t="s">
        <v>526</v>
      </c>
      <c r="H46" s="149" t="s">
        <v>286</v>
      </c>
      <c r="I46" s="133" t="s">
        <v>883</v>
      </c>
      <c r="J46" s="133" t="s">
        <v>1099</v>
      </c>
      <c r="K46" s="133" t="s">
        <v>1228</v>
      </c>
      <c r="L46" s="149" t="s">
        <v>1398</v>
      </c>
      <c r="M46" s="149" t="s">
        <v>1796</v>
      </c>
      <c r="N46" s="133" t="s">
        <v>1960</v>
      </c>
      <c r="O46" s="133" t="s">
        <v>2108</v>
      </c>
      <c r="P46" s="149" t="s">
        <v>2224</v>
      </c>
      <c r="Q46" s="133"/>
      <c r="R46" s="133"/>
      <c r="S46" s="133"/>
      <c r="T46" s="133"/>
      <c r="U46" s="133"/>
      <c r="V46" s="133"/>
    </row>
    <row r="47" spans="1:22" x14ac:dyDescent="0.25">
      <c r="A47" s="121" t="str">
        <f t="shared" ca="1" si="1"/>
        <v>T-75</v>
      </c>
      <c r="C47" s="122" t="s">
        <v>137</v>
      </c>
      <c r="D47" s="122" t="s">
        <v>137</v>
      </c>
      <c r="E47" s="122" t="s">
        <v>137</v>
      </c>
      <c r="F47" s="122" t="s">
        <v>137</v>
      </c>
      <c r="G47" s="122" t="s">
        <v>137</v>
      </c>
      <c r="H47" s="122" t="s">
        <v>137</v>
      </c>
      <c r="I47" s="122" t="s">
        <v>137</v>
      </c>
      <c r="J47" s="329" t="s">
        <v>137</v>
      </c>
      <c r="K47" s="122" t="s">
        <v>137</v>
      </c>
      <c r="L47" s="122" t="s">
        <v>1399</v>
      </c>
      <c r="M47" s="329" t="s">
        <v>1797</v>
      </c>
      <c r="N47" s="122" t="s">
        <v>137</v>
      </c>
      <c r="O47" s="122" t="s">
        <v>137</v>
      </c>
      <c r="P47" s="329" t="s">
        <v>137</v>
      </c>
      <c r="Q47" s="122"/>
      <c r="R47" s="122"/>
      <c r="S47" s="122"/>
      <c r="T47" s="122"/>
      <c r="U47" s="122"/>
      <c r="V47" s="122"/>
    </row>
    <row r="48" spans="1:22" x14ac:dyDescent="0.25">
      <c r="A48" s="121" t="str">
        <f t="shared" ca="1" si="1"/>
        <v>http://www.grass.at</v>
      </c>
      <c r="C48" s="128" t="s">
        <v>186</v>
      </c>
      <c r="D48" s="122" t="s">
        <v>186</v>
      </c>
      <c r="E48" s="122" t="s">
        <v>186</v>
      </c>
      <c r="F48" s="122" t="s">
        <v>186</v>
      </c>
      <c r="G48" s="122" t="s">
        <v>186</v>
      </c>
      <c r="H48" s="122" t="s">
        <v>186</v>
      </c>
      <c r="I48" s="128" t="s">
        <v>186</v>
      </c>
      <c r="J48" s="128" t="s">
        <v>186</v>
      </c>
      <c r="K48" s="122" t="s">
        <v>186</v>
      </c>
      <c r="L48" s="128" t="s">
        <v>1515</v>
      </c>
      <c r="M48" s="128" t="s">
        <v>186</v>
      </c>
      <c r="N48" s="329" t="s">
        <v>186</v>
      </c>
      <c r="O48" s="122"/>
      <c r="P48" s="329"/>
      <c r="Q48" s="122"/>
      <c r="R48" s="122"/>
      <c r="S48" s="122"/>
      <c r="T48" s="122"/>
      <c r="U48" s="122"/>
      <c r="V48" s="122"/>
    </row>
    <row r="49" spans="1:22" s="126" customFormat="1" ht="69.75" customHeight="1" thickBot="1" x14ac:dyDescent="0.3">
      <c r="A49" s="126" t="str">
        <f t="shared" ca="1" si="1"/>
        <v>• Подходит для шкафов с другими корпусами сверху
• Надежно удерживает створку в любом положении от 45° до
   100°
• Для тяжелых створок
• Встроенный регулируемый демпфер</v>
      </c>
      <c r="C49" s="149" t="s">
        <v>138</v>
      </c>
      <c r="D49" s="149" t="s">
        <v>546</v>
      </c>
      <c r="E49" s="149" t="s">
        <v>222</v>
      </c>
      <c r="F49" s="149" t="s">
        <v>270</v>
      </c>
      <c r="G49" s="149" t="s">
        <v>527</v>
      </c>
      <c r="H49" s="149" t="s">
        <v>287</v>
      </c>
      <c r="I49" s="133" t="s">
        <v>884</v>
      </c>
      <c r="J49" s="133" t="s">
        <v>1100</v>
      </c>
      <c r="K49" s="133" t="s">
        <v>1229</v>
      </c>
      <c r="L49" s="149" t="s">
        <v>1400</v>
      </c>
      <c r="M49" s="149" t="s">
        <v>1798</v>
      </c>
      <c r="N49" s="133" t="s">
        <v>1961</v>
      </c>
      <c r="O49" s="133" t="s">
        <v>2109</v>
      </c>
      <c r="P49" s="149" t="s">
        <v>2225</v>
      </c>
      <c r="Q49" s="133"/>
      <c r="R49" s="133"/>
      <c r="S49" s="133"/>
      <c r="T49" s="133"/>
      <c r="U49" s="133"/>
      <c r="V49" s="133"/>
    </row>
    <row r="50" spans="1:22" ht="15.75" customHeight="1" x14ac:dyDescent="0.25">
      <c r="A50" s="121" t="str">
        <f t="shared" ca="1" si="1"/>
        <v>T-76</v>
      </c>
      <c r="C50" s="122" t="s">
        <v>139</v>
      </c>
      <c r="D50" s="122" t="s">
        <v>139</v>
      </c>
      <c r="E50" s="122" t="s">
        <v>139</v>
      </c>
      <c r="F50" s="122" t="s">
        <v>139</v>
      </c>
      <c r="G50" s="122" t="s">
        <v>139</v>
      </c>
      <c r="H50" s="122" t="s">
        <v>139</v>
      </c>
      <c r="I50" s="122" t="s">
        <v>139</v>
      </c>
      <c r="J50" s="122" t="s">
        <v>139</v>
      </c>
      <c r="K50" s="122" t="s">
        <v>139</v>
      </c>
      <c r="L50" s="122" t="s">
        <v>1401</v>
      </c>
      <c r="M50" s="329" t="s">
        <v>1799</v>
      </c>
      <c r="N50" s="122" t="s">
        <v>139</v>
      </c>
      <c r="O50" s="122" t="s">
        <v>139</v>
      </c>
      <c r="P50" s="329" t="s">
        <v>139</v>
      </c>
      <c r="Q50" s="122"/>
      <c r="R50" s="122"/>
      <c r="S50" s="122"/>
      <c r="T50" s="122"/>
      <c r="U50" s="122"/>
      <c r="V50" s="122"/>
    </row>
    <row r="51" spans="1:22" x14ac:dyDescent="0.25">
      <c r="A51" s="121" t="str">
        <f t="shared" ca="1" si="1"/>
        <v>http://www.grass.at</v>
      </c>
      <c r="C51" s="128" t="s">
        <v>186</v>
      </c>
      <c r="D51" s="122" t="s">
        <v>186</v>
      </c>
      <c r="E51" s="122" t="s">
        <v>186</v>
      </c>
      <c r="F51" s="122" t="s">
        <v>186</v>
      </c>
      <c r="G51" s="122" t="s">
        <v>186</v>
      </c>
      <c r="H51" s="122" t="s">
        <v>186</v>
      </c>
      <c r="I51" s="122" t="s">
        <v>186</v>
      </c>
      <c r="J51" s="128" t="s">
        <v>186</v>
      </c>
      <c r="K51" s="122" t="s">
        <v>186</v>
      </c>
      <c r="L51" s="128" t="s">
        <v>1515</v>
      </c>
      <c r="M51" s="128" t="s">
        <v>186</v>
      </c>
      <c r="N51" s="329" t="s">
        <v>186</v>
      </c>
      <c r="O51" s="122"/>
      <c r="P51" s="329"/>
      <c r="Q51" s="122"/>
      <c r="R51" s="122"/>
      <c r="S51" s="122"/>
      <c r="T51" s="122"/>
      <c r="U51" s="122"/>
      <c r="V51" s="122"/>
    </row>
    <row r="52" spans="1:22" s="126" customFormat="1" ht="99.75" customHeight="1" thickBot="1" x14ac:dyDescent="0.3">
      <c r="A52" s="126" t="str">
        <f t="shared" ca="1" si="1"/>
        <v>• Подходит для шкафов с другими корпусами сверху
• Надежно удерживает створку в любом положении от 45° до
   100°
• Встроенный регулируемый демпфер
• Непосредственная 3-мерная регулировка фасада
• Установка с использованием зажимов
• Для тяжелых створок</v>
      </c>
      <c r="C52" s="149" t="s">
        <v>140</v>
      </c>
      <c r="D52" s="149" t="s">
        <v>545</v>
      </c>
      <c r="E52" s="149" t="s">
        <v>224</v>
      </c>
      <c r="F52" s="149" t="s">
        <v>537</v>
      </c>
      <c r="G52" s="149" t="s">
        <v>529</v>
      </c>
      <c r="H52" s="149" t="s">
        <v>288</v>
      </c>
      <c r="I52" s="133" t="s">
        <v>885</v>
      </c>
      <c r="J52" s="133" t="s">
        <v>1101</v>
      </c>
      <c r="K52" s="133" t="s">
        <v>1230</v>
      </c>
      <c r="L52" s="149" t="s">
        <v>1402</v>
      </c>
      <c r="M52" s="149" t="s">
        <v>1800</v>
      </c>
      <c r="N52" s="133" t="s">
        <v>1962</v>
      </c>
      <c r="O52" s="133" t="s">
        <v>2110</v>
      </c>
      <c r="P52" s="149" t="s">
        <v>2226</v>
      </c>
      <c r="Q52" s="133"/>
      <c r="R52" s="133"/>
      <c r="S52" s="133"/>
      <c r="T52" s="133"/>
      <c r="U52" s="133"/>
      <c r="V52" s="133"/>
    </row>
    <row r="53" spans="1:22" x14ac:dyDescent="0.25">
      <c r="A53" s="121" t="str">
        <f t="shared" ca="1" si="1"/>
        <v>T-57</v>
      </c>
      <c r="C53" s="122" t="s">
        <v>141</v>
      </c>
      <c r="D53" s="122" t="s">
        <v>141</v>
      </c>
      <c r="E53" s="122" t="s">
        <v>141</v>
      </c>
      <c r="F53" s="122" t="s">
        <v>141</v>
      </c>
      <c r="G53" s="122" t="s">
        <v>141</v>
      </c>
      <c r="H53" s="122" t="s">
        <v>141</v>
      </c>
      <c r="I53" s="122" t="s">
        <v>141</v>
      </c>
      <c r="J53" s="122" t="s">
        <v>141</v>
      </c>
      <c r="K53" s="122" t="s">
        <v>141</v>
      </c>
      <c r="L53" s="122" t="s">
        <v>1403</v>
      </c>
      <c r="M53" s="329" t="s">
        <v>1801</v>
      </c>
      <c r="N53" s="122" t="s">
        <v>141</v>
      </c>
      <c r="O53" s="122" t="s">
        <v>141</v>
      </c>
      <c r="P53" s="329" t="s">
        <v>141</v>
      </c>
      <c r="Q53" s="122"/>
      <c r="R53" s="122"/>
      <c r="S53" s="122"/>
      <c r="T53" s="122"/>
      <c r="U53" s="122"/>
      <c r="V53" s="122"/>
    </row>
    <row r="54" spans="1:22" x14ac:dyDescent="0.25">
      <c r="A54" s="121" t="str">
        <f t="shared" ca="1" si="1"/>
        <v>http://www.grass.at</v>
      </c>
      <c r="C54" s="128" t="s">
        <v>186</v>
      </c>
      <c r="D54" s="122" t="s">
        <v>186</v>
      </c>
      <c r="E54" s="122" t="s">
        <v>186</v>
      </c>
      <c r="F54" s="122" t="s">
        <v>186</v>
      </c>
      <c r="G54" s="122" t="s">
        <v>186</v>
      </c>
      <c r="H54" s="122" t="s">
        <v>186</v>
      </c>
      <c r="I54" s="128" t="s">
        <v>875</v>
      </c>
      <c r="J54" s="128" t="s">
        <v>186</v>
      </c>
      <c r="K54" s="122" t="s">
        <v>1231</v>
      </c>
      <c r="L54" s="128" t="s">
        <v>1515</v>
      </c>
      <c r="M54" s="128" t="s">
        <v>186</v>
      </c>
      <c r="N54" s="329" t="s">
        <v>186</v>
      </c>
      <c r="O54" s="122"/>
      <c r="P54" s="329"/>
      <c r="Q54" s="122"/>
      <c r="R54" s="122"/>
      <c r="S54" s="122"/>
      <c r="T54" s="122"/>
      <c r="U54" s="122"/>
      <c r="V54" s="122"/>
    </row>
    <row r="55" spans="1:22" s="126" customFormat="1" ht="105.75" thickBot="1" x14ac:dyDescent="0.3">
      <c r="A55" s="126" t="str">
        <f t="shared" ca="1" si="1"/>
        <v>• Подходит для шкафов с другими корпусами сверху
• Регулируемый угол открывания 75° или 90°
• Для средних створок</v>
      </c>
      <c r="C55" s="149" t="s">
        <v>142</v>
      </c>
      <c r="D55" s="149" t="s">
        <v>211</v>
      </c>
      <c r="E55" s="149" t="s">
        <v>226</v>
      </c>
      <c r="F55" s="149" t="s">
        <v>248</v>
      </c>
      <c r="G55" s="149" t="s">
        <v>266</v>
      </c>
      <c r="H55" s="149" t="s">
        <v>289</v>
      </c>
      <c r="I55" s="133" t="s">
        <v>886</v>
      </c>
      <c r="J55" s="133" t="s">
        <v>1102</v>
      </c>
      <c r="K55" s="133" t="s">
        <v>1232</v>
      </c>
      <c r="L55" s="149" t="s">
        <v>1404</v>
      </c>
      <c r="M55" s="149" t="s">
        <v>1802</v>
      </c>
      <c r="N55" s="133" t="s">
        <v>1963</v>
      </c>
      <c r="O55" s="133" t="s">
        <v>2111</v>
      </c>
      <c r="P55" s="149" t="s">
        <v>2227</v>
      </c>
      <c r="Q55" s="133"/>
      <c r="R55" s="133"/>
      <c r="S55" s="133"/>
      <c r="T55" s="133"/>
      <c r="U55" s="133"/>
      <c r="V55" s="133"/>
    </row>
    <row r="56" spans="1:22" x14ac:dyDescent="0.25">
      <c r="A56" s="121" t="str">
        <f t="shared" ca="1" si="1"/>
        <v>T-105</v>
      </c>
      <c r="C56" s="122" t="s">
        <v>143</v>
      </c>
      <c r="D56" s="122" t="s">
        <v>143</v>
      </c>
      <c r="E56" s="122" t="s">
        <v>143</v>
      </c>
      <c r="F56" s="122" t="s">
        <v>143</v>
      </c>
      <c r="G56" s="122" t="s">
        <v>143</v>
      </c>
      <c r="H56" s="122" t="s">
        <v>143</v>
      </c>
      <c r="I56" s="122" t="s">
        <v>143</v>
      </c>
      <c r="J56" s="122" t="s">
        <v>143</v>
      </c>
      <c r="K56" s="122" t="s">
        <v>143</v>
      </c>
      <c r="L56" s="122" t="s">
        <v>1405</v>
      </c>
      <c r="M56" s="329" t="s">
        <v>1803</v>
      </c>
      <c r="N56" s="122" t="s">
        <v>143</v>
      </c>
      <c r="O56" s="122" t="s">
        <v>143</v>
      </c>
      <c r="P56" s="329" t="s">
        <v>143</v>
      </c>
      <c r="Q56" s="122"/>
      <c r="R56" s="122"/>
      <c r="S56" s="122"/>
      <c r="T56" s="122"/>
      <c r="U56" s="122"/>
      <c r="V56" s="122"/>
    </row>
    <row r="57" spans="1:22" x14ac:dyDescent="0.25">
      <c r="A57" s="121" t="str">
        <f t="shared" ref="A57:A88" ca="1" si="2">OFFSET(B57,0,$B$2,1,1)</f>
        <v>http://www.grass.at</v>
      </c>
      <c r="C57" s="128" t="s">
        <v>186</v>
      </c>
      <c r="D57" s="122" t="s">
        <v>186</v>
      </c>
      <c r="E57" s="122" t="s">
        <v>186</v>
      </c>
      <c r="F57" s="122" t="s">
        <v>186</v>
      </c>
      <c r="G57" s="122" t="s">
        <v>186</v>
      </c>
      <c r="H57" s="122" t="s">
        <v>186</v>
      </c>
      <c r="I57" s="128" t="s">
        <v>186</v>
      </c>
      <c r="J57" s="128" t="s">
        <v>186</v>
      </c>
      <c r="K57" s="122" t="s">
        <v>1231</v>
      </c>
      <c r="L57" s="128" t="s">
        <v>1515</v>
      </c>
      <c r="M57" s="128" t="s">
        <v>186</v>
      </c>
      <c r="N57" s="329" t="s">
        <v>186</v>
      </c>
      <c r="O57" s="122"/>
      <c r="P57" s="329"/>
      <c r="Q57" s="122"/>
      <c r="R57" s="122"/>
      <c r="S57" s="122"/>
      <c r="T57" s="122"/>
      <c r="U57" s="122"/>
      <c r="V57" s="122"/>
    </row>
    <row r="58" spans="1:22" x14ac:dyDescent="0.25">
      <c r="A58" s="121" t="str">
        <f t="shared" ca="1" si="2"/>
        <v>Коленчатый подъемник</v>
      </c>
      <c r="C58" s="122" t="s">
        <v>145</v>
      </c>
      <c r="D58" s="122" t="s">
        <v>209</v>
      </c>
      <c r="E58" s="122" t="s">
        <v>229</v>
      </c>
      <c r="F58" s="122" t="s">
        <v>249</v>
      </c>
      <c r="G58" s="122" t="s">
        <v>267</v>
      </c>
      <c r="H58" s="122" t="s">
        <v>290</v>
      </c>
      <c r="I58" s="122" t="s">
        <v>887</v>
      </c>
      <c r="J58" s="122" t="s">
        <v>1103</v>
      </c>
      <c r="K58" s="122" t="s">
        <v>1233</v>
      </c>
      <c r="L58" s="122" t="s">
        <v>1406</v>
      </c>
      <c r="M58" s="329" t="s">
        <v>1783</v>
      </c>
      <c r="N58" s="122"/>
      <c r="O58" s="122" t="s">
        <v>2112</v>
      </c>
      <c r="P58" s="329" t="s">
        <v>2228</v>
      </c>
      <c r="Q58" s="122"/>
      <c r="R58" s="122"/>
      <c r="S58" s="122"/>
      <c r="T58" s="122"/>
      <c r="U58" s="122"/>
      <c r="V58" s="122"/>
    </row>
    <row r="59" spans="1:22" s="126" customFormat="1" ht="66.75" customHeight="1" thickBot="1" x14ac:dyDescent="0.3">
      <c r="A59" s="126" t="str">
        <f t="shared" ca="1" si="2"/>
        <v>• Подходит для шкафов с другими корпусами сверху
• Надежно удерживает створку в любом положении от 45°
   до 100°
• Широкая область применения
• Функция открывания с усиленным механизмом</v>
      </c>
      <c r="C59" s="149" t="s">
        <v>144</v>
      </c>
      <c r="D59" s="149" t="s">
        <v>543</v>
      </c>
      <c r="E59" s="149" t="s">
        <v>228</v>
      </c>
      <c r="F59" s="149" t="s">
        <v>536</v>
      </c>
      <c r="G59" s="149" t="s">
        <v>528</v>
      </c>
      <c r="H59" s="149" t="s">
        <v>292</v>
      </c>
      <c r="I59" s="133" t="s">
        <v>888</v>
      </c>
      <c r="J59" s="133" t="s">
        <v>1104</v>
      </c>
      <c r="K59" s="133" t="s">
        <v>1234</v>
      </c>
      <c r="L59" s="149" t="s">
        <v>1407</v>
      </c>
      <c r="M59" s="149" t="s">
        <v>1804</v>
      </c>
      <c r="N59" s="133" t="s">
        <v>1964</v>
      </c>
      <c r="O59" s="133" t="s">
        <v>2113</v>
      </c>
      <c r="P59" s="149" t="s">
        <v>2229</v>
      </c>
      <c r="Q59" s="133"/>
      <c r="R59" s="133"/>
      <c r="S59" s="133"/>
      <c r="T59" s="133"/>
      <c r="U59" s="133"/>
      <c r="V59" s="133"/>
    </row>
    <row r="60" spans="1:22" x14ac:dyDescent="0.25">
      <c r="A60" s="121" t="str">
        <f t="shared" ca="1" si="2"/>
        <v>L-80 Вертикальный подъемник</v>
      </c>
      <c r="C60" s="122" t="s">
        <v>1</v>
      </c>
      <c r="D60" s="122" t="s">
        <v>201</v>
      </c>
      <c r="E60" s="122" t="s">
        <v>1532</v>
      </c>
      <c r="F60" s="122" t="s">
        <v>233</v>
      </c>
      <c r="G60" s="122" t="s">
        <v>255</v>
      </c>
      <c r="H60" s="122" t="s">
        <v>275</v>
      </c>
      <c r="I60" s="122" t="s">
        <v>889</v>
      </c>
      <c r="J60" s="122" t="s">
        <v>1105</v>
      </c>
      <c r="K60" s="122" t="s">
        <v>1235</v>
      </c>
      <c r="L60" s="122" t="s">
        <v>1408</v>
      </c>
      <c r="M60" s="329" t="s">
        <v>1805</v>
      </c>
      <c r="N60" s="122" t="s">
        <v>1965</v>
      </c>
      <c r="O60" s="122" t="s">
        <v>2114</v>
      </c>
      <c r="P60" s="329" t="s">
        <v>2230</v>
      </c>
      <c r="Q60" s="122"/>
      <c r="R60" s="122"/>
      <c r="S60" s="122"/>
      <c r="T60" s="122"/>
      <c r="U60" s="122"/>
      <c r="V60" s="122"/>
    </row>
    <row r="61" spans="1:22" x14ac:dyDescent="0.25">
      <c r="A61" s="121" t="str">
        <f t="shared" ca="1" si="2"/>
        <v>F-20 Складной подъемник</v>
      </c>
      <c r="C61" s="122" t="s">
        <v>6</v>
      </c>
      <c r="D61" s="122" t="s">
        <v>200</v>
      </c>
      <c r="E61" s="122" t="s">
        <v>213</v>
      </c>
      <c r="F61" s="122" t="s">
        <v>234</v>
      </c>
      <c r="G61" s="122" t="s">
        <v>252</v>
      </c>
      <c r="H61" s="122" t="s">
        <v>272</v>
      </c>
      <c r="I61" s="122" t="s">
        <v>890</v>
      </c>
      <c r="J61" s="122" t="s">
        <v>1106</v>
      </c>
      <c r="K61" s="122" t="s">
        <v>1236</v>
      </c>
      <c r="L61" s="122" t="s">
        <v>1409</v>
      </c>
      <c r="M61" s="329" t="s">
        <v>1806</v>
      </c>
      <c r="N61" s="122" t="s">
        <v>1966</v>
      </c>
      <c r="O61" s="122" t="s">
        <v>2115</v>
      </c>
      <c r="P61" s="329" t="s">
        <v>2231</v>
      </c>
      <c r="Q61" s="122"/>
      <c r="R61" s="122"/>
      <c r="S61" s="122"/>
      <c r="T61" s="122"/>
      <c r="U61" s="122"/>
      <c r="V61" s="122"/>
    </row>
    <row r="62" spans="1:22" x14ac:dyDescent="0.25">
      <c r="A62" s="121" t="str">
        <f t="shared" ca="1" si="2"/>
        <v>T-105 Коленчатый подъемник</v>
      </c>
      <c r="C62" s="122" t="s">
        <v>10</v>
      </c>
      <c r="D62" s="122" t="s">
        <v>208</v>
      </c>
      <c r="E62" s="122" t="s">
        <v>227</v>
      </c>
      <c r="F62" s="122" t="s">
        <v>250</v>
      </c>
      <c r="G62" s="122" t="s">
        <v>268</v>
      </c>
      <c r="H62" s="122" t="s">
        <v>291</v>
      </c>
      <c r="I62" s="122" t="s">
        <v>891</v>
      </c>
      <c r="J62" s="122" t="s">
        <v>1107</v>
      </c>
      <c r="K62" s="122" t="s">
        <v>1237</v>
      </c>
      <c r="L62" s="122" t="s">
        <v>1410</v>
      </c>
      <c r="M62" s="329" t="s">
        <v>1807</v>
      </c>
      <c r="N62" s="122" t="s">
        <v>1967</v>
      </c>
      <c r="O62" s="122" t="s">
        <v>2116</v>
      </c>
      <c r="P62" s="329" t="s">
        <v>2232</v>
      </c>
      <c r="Q62" s="122"/>
      <c r="R62" s="122"/>
      <c r="S62" s="122"/>
      <c r="T62" s="122"/>
      <c r="U62" s="122"/>
      <c r="V62" s="122"/>
    </row>
    <row r="63" spans="1:22" x14ac:dyDescent="0.25">
      <c r="A63" s="121" t="str">
        <f t="shared" ca="1" si="2"/>
        <v>T-57 Поворотный подъемник</v>
      </c>
      <c r="C63" s="122" t="s">
        <v>27</v>
      </c>
      <c r="D63" s="122" t="s">
        <v>207</v>
      </c>
      <c r="E63" s="122" t="s">
        <v>225</v>
      </c>
      <c r="F63" s="122" t="s">
        <v>247</v>
      </c>
      <c r="G63" s="122" t="s">
        <v>265</v>
      </c>
      <c r="H63" s="122" t="s">
        <v>285</v>
      </c>
      <c r="I63" s="122" t="s">
        <v>892</v>
      </c>
      <c r="J63" s="122" t="s">
        <v>1108</v>
      </c>
      <c r="K63" s="122" t="s">
        <v>1238</v>
      </c>
      <c r="L63" s="122" t="s">
        <v>1411</v>
      </c>
      <c r="M63" s="329" t="s">
        <v>1808</v>
      </c>
      <c r="N63" s="122" t="s">
        <v>1968</v>
      </c>
      <c r="O63" s="122" t="s">
        <v>2117</v>
      </c>
      <c r="P63" s="329" t="s">
        <v>2233</v>
      </c>
      <c r="Q63" s="122"/>
      <c r="R63" s="122"/>
      <c r="S63" s="122"/>
      <c r="T63" s="122"/>
      <c r="U63" s="122"/>
      <c r="V63" s="122"/>
    </row>
    <row r="64" spans="1:22" x14ac:dyDescent="0.25">
      <c r="A64" s="121" t="str">
        <f t="shared" ca="1" si="2"/>
        <v>T-76 Поворотный подъемник</v>
      </c>
      <c r="C64" s="122" t="s">
        <v>29</v>
      </c>
      <c r="D64" s="122" t="s">
        <v>206</v>
      </c>
      <c r="E64" s="122" t="s">
        <v>223</v>
      </c>
      <c r="F64" s="122" t="s">
        <v>246</v>
      </c>
      <c r="G64" s="122" t="s">
        <v>264</v>
      </c>
      <c r="H64" s="122" t="s">
        <v>284</v>
      </c>
      <c r="I64" s="122" t="s">
        <v>893</v>
      </c>
      <c r="J64" s="122" t="s">
        <v>1109</v>
      </c>
      <c r="K64" s="122" t="s">
        <v>1239</v>
      </c>
      <c r="L64" s="122" t="s">
        <v>1412</v>
      </c>
      <c r="M64" s="329" t="s">
        <v>1809</v>
      </c>
      <c r="N64" s="122" t="s">
        <v>1969</v>
      </c>
      <c r="O64" s="122" t="s">
        <v>2118</v>
      </c>
      <c r="P64" s="329" t="s">
        <v>2234</v>
      </c>
      <c r="Q64" s="122"/>
      <c r="R64" s="122"/>
      <c r="S64" s="122"/>
      <c r="T64" s="122"/>
      <c r="U64" s="122"/>
      <c r="V64" s="122"/>
    </row>
    <row r="65" spans="1:22" x14ac:dyDescent="0.25">
      <c r="A65" s="121" t="str">
        <f t="shared" ca="1" si="2"/>
        <v>T-75 Поворотный подъемник</v>
      </c>
      <c r="C65" s="122" t="s">
        <v>32</v>
      </c>
      <c r="D65" s="122" t="s">
        <v>205</v>
      </c>
      <c r="E65" s="122" t="s">
        <v>221</v>
      </c>
      <c r="F65" s="122" t="s">
        <v>245</v>
      </c>
      <c r="G65" s="122" t="s">
        <v>263</v>
      </c>
      <c r="H65" s="122" t="s">
        <v>283</v>
      </c>
      <c r="I65" s="122" t="s">
        <v>894</v>
      </c>
      <c r="J65" s="122" t="s">
        <v>1110</v>
      </c>
      <c r="K65" s="122" t="s">
        <v>1240</v>
      </c>
      <c r="L65" s="122" t="s">
        <v>1413</v>
      </c>
      <c r="M65" s="329" t="s">
        <v>1810</v>
      </c>
      <c r="N65" s="122" t="s">
        <v>1970</v>
      </c>
      <c r="O65" s="122" t="s">
        <v>2119</v>
      </c>
      <c r="P65" s="329" t="s">
        <v>2235</v>
      </c>
      <c r="Q65" s="122"/>
      <c r="R65" s="122"/>
      <c r="S65" s="122"/>
      <c r="T65" s="122"/>
      <c r="U65" s="122"/>
      <c r="V65" s="122"/>
    </row>
    <row r="66" spans="1:22" x14ac:dyDescent="0.25">
      <c r="A66" s="121" t="str">
        <f t="shared" ca="1" si="2"/>
        <v>T-71 Поворотный подъемник</v>
      </c>
      <c r="C66" s="122" t="s">
        <v>33</v>
      </c>
      <c r="D66" s="122" t="s">
        <v>202</v>
      </c>
      <c r="E66" s="122" t="s">
        <v>220</v>
      </c>
      <c r="F66" s="122" t="s">
        <v>244</v>
      </c>
      <c r="G66" s="122" t="s">
        <v>262</v>
      </c>
      <c r="H66" s="122" t="s">
        <v>282</v>
      </c>
      <c r="I66" s="122" t="s">
        <v>895</v>
      </c>
      <c r="J66" s="122" t="s">
        <v>1111</v>
      </c>
      <c r="K66" s="122" t="s">
        <v>1241</v>
      </c>
      <c r="L66" s="122" t="s">
        <v>1414</v>
      </c>
      <c r="M66" s="329" t="s">
        <v>1811</v>
      </c>
      <c r="N66" s="122" t="s">
        <v>1971</v>
      </c>
      <c r="O66" s="122" t="s">
        <v>2120</v>
      </c>
      <c r="P66" s="329" t="s">
        <v>2236</v>
      </c>
      <c r="Q66" s="122"/>
      <c r="R66" s="122"/>
      <c r="S66" s="122"/>
      <c r="T66" s="122"/>
      <c r="U66" s="122"/>
      <c r="V66" s="122"/>
    </row>
    <row r="67" spans="1:22" x14ac:dyDescent="0.25">
      <c r="A67" s="121" t="str">
        <f t="shared" ca="1" si="2"/>
        <v>T-70 Поворотный подъемник</v>
      </c>
      <c r="C67" s="122" t="s">
        <v>35</v>
      </c>
      <c r="D67" s="122" t="s">
        <v>203</v>
      </c>
      <c r="E67" s="122" t="s">
        <v>218</v>
      </c>
      <c r="F67" s="122" t="s">
        <v>243</v>
      </c>
      <c r="G67" s="122" t="s">
        <v>261</v>
      </c>
      <c r="H67" s="122" t="s">
        <v>281</v>
      </c>
      <c r="I67" s="122" t="s">
        <v>896</v>
      </c>
      <c r="J67" s="122" t="s">
        <v>1112</v>
      </c>
      <c r="K67" s="122" t="s">
        <v>1242</v>
      </c>
      <c r="L67" s="122" t="s">
        <v>1415</v>
      </c>
      <c r="M67" s="329" t="s">
        <v>1812</v>
      </c>
      <c r="N67" s="122" t="s">
        <v>1972</v>
      </c>
      <c r="O67" s="122" t="s">
        <v>2121</v>
      </c>
      <c r="P67" s="329" t="s">
        <v>2237</v>
      </c>
      <c r="Q67" s="122"/>
      <c r="R67" s="122"/>
      <c r="S67" s="122"/>
      <c r="T67" s="122"/>
      <c r="U67" s="122"/>
      <c r="V67" s="122"/>
    </row>
    <row r="68" spans="1:22" x14ac:dyDescent="0.25">
      <c r="A68" s="121" t="str">
        <f t="shared" ca="1" si="2"/>
        <v>T-65 Поворотный подъемник</v>
      </c>
      <c r="C68" s="122" t="s">
        <v>38</v>
      </c>
      <c r="D68" s="122" t="s">
        <v>199</v>
      </c>
      <c r="E68" s="122" t="s">
        <v>216</v>
      </c>
      <c r="F68" s="122" t="s">
        <v>242</v>
      </c>
      <c r="G68" s="122" t="s">
        <v>260</v>
      </c>
      <c r="H68" s="122" t="s">
        <v>280</v>
      </c>
      <c r="I68" s="122" t="s">
        <v>897</v>
      </c>
      <c r="J68" s="122" t="s">
        <v>1113</v>
      </c>
      <c r="K68" s="122" t="s">
        <v>1243</v>
      </c>
      <c r="L68" s="122" t="s">
        <v>1416</v>
      </c>
      <c r="M68" s="329" t="s">
        <v>1813</v>
      </c>
      <c r="N68" s="122" t="s">
        <v>1973</v>
      </c>
      <c r="O68" s="122" t="s">
        <v>2122</v>
      </c>
      <c r="P68" s="329" t="s">
        <v>2238</v>
      </c>
      <c r="Q68" s="122"/>
      <c r="R68" s="122"/>
      <c r="S68" s="122"/>
      <c r="T68" s="122"/>
      <c r="U68" s="122"/>
      <c r="V68" s="122"/>
    </row>
    <row r="69" spans="1:22" s="123" customFormat="1" ht="15.75" thickBot="1" x14ac:dyDescent="0.3">
      <c r="A69" s="123" t="str">
        <f t="shared" ca="1" si="2"/>
        <v>S-35 Откидной подъемник</v>
      </c>
      <c r="C69" s="122" t="s">
        <v>40</v>
      </c>
      <c r="D69" s="122" t="s">
        <v>204</v>
      </c>
      <c r="E69" s="122" t="s">
        <v>215</v>
      </c>
      <c r="F69" s="122" t="s">
        <v>238</v>
      </c>
      <c r="G69" s="122" t="s">
        <v>257</v>
      </c>
      <c r="H69" s="122" t="s">
        <v>278</v>
      </c>
      <c r="I69" s="122" t="s">
        <v>898</v>
      </c>
      <c r="J69" s="122" t="s">
        <v>1114</v>
      </c>
      <c r="K69" s="122" t="s">
        <v>1244</v>
      </c>
      <c r="L69" s="122" t="s">
        <v>1417</v>
      </c>
      <c r="M69" s="329" t="s">
        <v>1814</v>
      </c>
      <c r="N69" s="122" t="s">
        <v>1974</v>
      </c>
      <c r="O69" s="122" t="s">
        <v>2123</v>
      </c>
      <c r="P69" s="329" t="s">
        <v>2239</v>
      </c>
      <c r="Q69" s="122"/>
      <c r="R69" s="122"/>
      <c r="S69" s="122"/>
      <c r="T69" s="122"/>
      <c r="U69" s="122"/>
      <c r="V69" s="122"/>
    </row>
    <row r="70" spans="1:22" x14ac:dyDescent="0.25">
      <c r="A70" s="121" t="str">
        <f t="shared" ca="1" si="2"/>
        <v>соединение с древесиной</v>
      </c>
      <c r="C70" s="122" t="s">
        <v>21</v>
      </c>
      <c r="D70" s="122" t="s">
        <v>94</v>
      </c>
      <c r="E70" s="122" t="s">
        <v>298</v>
      </c>
      <c r="F70" s="122" t="s">
        <v>343</v>
      </c>
      <c r="G70" s="122" t="s">
        <v>344</v>
      </c>
      <c r="H70" s="122" t="s">
        <v>345</v>
      </c>
      <c r="I70" s="122" t="s">
        <v>899</v>
      </c>
      <c r="J70" s="122" t="s">
        <v>1115</v>
      </c>
      <c r="K70" s="122" t="s">
        <v>1245</v>
      </c>
      <c r="L70" s="122" t="s">
        <v>1418</v>
      </c>
      <c r="M70" s="329" t="s">
        <v>1815</v>
      </c>
      <c r="N70" s="122" t="s">
        <v>1975</v>
      </c>
      <c r="O70" s="122" t="s">
        <v>2124</v>
      </c>
      <c r="P70" s="329" t="s">
        <v>2240</v>
      </c>
      <c r="Q70" s="122"/>
      <c r="R70" s="122"/>
      <c r="S70" s="122"/>
      <c r="T70" s="122"/>
      <c r="U70" s="122"/>
      <c r="V70" s="122"/>
    </row>
    <row r="71" spans="1:22" x14ac:dyDescent="0.25">
      <c r="A71" s="121" t="str">
        <f t="shared" ca="1" si="2"/>
        <v>алюминий 19 мм</v>
      </c>
      <c r="C71" s="122" t="s">
        <v>146</v>
      </c>
      <c r="D71" s="122" t="s">
        <v>188</v>
      </c>
      <c r="E71" s="122" t="s">
        <v>299</v>
      </c>
      <c r="F71" s="122" t="s">
        <v>346</v>
      </c>
      <c r="G71" s="122" t="s">
        <v>347</v>
      </c>
      <c r="H71" s="122" t="s">
        <v>348</v>
      </c>
      <c r="I71" s="122" t="s">
        <v>900</v>
      </c>
      <c r="J71" s="122" t="s">
        <v>1116</v>
      </c>
      <c r="K71" s="122" t="s">
        <v>1246</v>
      </c>
      <c r="L71" s="122" t="s">
        <v>1419</v>
      </c>
      <c r="M71" s="329" t="s">
        <v>1816</v>
      </c>
      <c r="N71" s="122" t="s">
        <v>1976</v>
      </c>
      <c r="O71" s="122" t="s">
        <v>2125</v>
      </c>
      <c r="P71" s="329" t="s">
        <v>2241</v>
      </c>
      <c r="Q71" s="122"/>
      <c r="R71" s="122"/>
      <c r="S71" s="122"/>
      <c r="T71" s="122"/>
      <c r="U71" s="122"/>
      <c r="V71" s="122"/>
    </row>
    <row r="72" spans="1:22" x14ac:dyDescent="0.25">
      <c r="A72" s="121" t="str">
        <f t="shared" ca="1" si="2"/>
        <v>Исполнение под</v>
      </c>
      <c r="C72" s="122" t="s">
        <v>20</v>
      </c>
      <c r="D72" s="122" t="s">
        <v>189</v>
      </c>
      <c r="E72" s="122" t="s">
        <v>300</v>
      </c>
      <c r="F72" s="122" t="s">
        <v>349</v>
      </c>
      <c r="G72" s="122" t="s">
        <v>350</v>
      </c>
      <c r="H72" s="122" t="s">
        <v>351</v>
      </c>
      <c r="I72" s="122" t="s">
        <v>901</v>
      </c>
      <c r="J72" s="122" t="s">
        <v>1117</v>
      </c>
      <c r="K72" s="122" t="s">
        <v>1247</v>
      </c>
      <c r="L72" s="122" t="s">
        <v>1420</v>
      </c>
      <c r="M72" s="329" t="s">
        <v>1817</v>
      </c>
      <c r="N72" s="122" t="s">
        <v>1977</v>
      </c>
      <c r="O72" s="122" t="s">
        <v>2126</v>
      </c>
      <c r="P72" s="329" t="s">
        <v>2242</v>
      </c>
      <c r="Q72" s="122"/>
      <c r="R72" s="122"/>
      <c r="S72" s="122"/>
      <c r="T72" s="122"/>
      <c r="U72" s="122"/>
      <c r="V72" s="122"/>
    </row>
    <row r="73" spans="1:22" x14ac:dyDescent="0.25">
      <c r="A73" s="121" t="str">
        <f t="shared" ca="1" si="2"/>
        <v>Наложение в мм</v>
      </c>
      <c r="C73" s="122" t="s">
        <v>147</v>
      </c>
      <c r="D73" s="122" t="s">
        <v>187</v>
      </c>
      <c r="E73" s="122" t="s">
        <v>713</v>
      </c>
      <c r="F73" s="122" t="s">
        <v>352</v>
      </c>
      <c r="G73" s="122" t="s">
        <v>353</v>
      </c>
      <c r="H73" s="122" t="s">
        <v>354</v>
      </c>
      <c r="I73" s="122" t="s">
        <v>902</v>
      </c>
      <c r="J73" s="122" t="s">
        <v>1118</v>
      </c>
      <c r="K73" s="122" t="s">
        <v>1248</v>
      </c>
      <c r="L73" s="122" t="s">
        <v>1421</v>
      </c>
      <c r="M73" s="329" t="s">
        <v>1818</v>
      </c>
      <c r="N73" s="122" t="s">
        <v>1978</v>
      </c>
      <c r="O73" s="122" t="s">
        <v>2127</v>
      </c>
      <c r="P73" s="329" t="s">
        <v>2243</v>
      </c>
      <c r="Q73" s="122"/>
      <c r="R73" s="122"/>
      <c r="S73" s="122"/>
      <c r="T73" s="122"/>
      <c r="U73" s="122"/>
      <c r="V73" s="122"/>
    </row>
    <row r="74" spans="1:22" hidden="1" x14ac:dyDescent="0.25">
      <c r="A74" s="121" t="str">
        <f t="shared" ca="1" si="2"/>
        <v>var</v>
      </c>
      <c r="C74" s="122" t="s">
        <v>18</v>
      </c>
      <c r="D74" s="122" t="s">
        <v>18</v>
      </c>
      <c r="E74" s="122"/>
      <c r="F74" s="122"/>
      <c r="G74" s="122"/>
      <c r="H74" s="122"/>
      <c r="I74" s="122" t="s">
        <v>903</v>
      </c>
      <c r="J74" s="122"/>
      <c r="K74" s="122"/>
      <c r="L74" s="122" t="s">
        <v>18</v>
      </c>
      <c r="M74" s="329"/>
      <c r="N74" s="122"/>
      <c r="O74" s="122"/>
      <c r="P74" s="329"/>
      <c r="Q74" s="122"/>
      <c r="R74" s="122"/>
      <c r="S74" s="122"/>
      <c r="T74" s="122"/>
      <c r="U74" s="122"/>
      <c r="V74" s="122"/>
    </row>
    <row r="75" spans="1:22" s="130" customFormat="1" x14ac:dyDescent="0.25">
      <c r="A75" s="130">
        <f t="shared" ca="1" si="2"/>
        <v>13</v>
      </c>
      <c r="C75" s="131">
        <v>13</v>
      </c>
      <c r="D75" s="131">
        <v>13</v>
      </c>
      <c r="E75" s="131">
        <v>13</v>
      </c>
      <c r="F75" s="131">
        <v>13</v>
      </c>
      <c r="G75" s="131">
        <v>13</v>
      </c>
      <c r="H75" s="131">
        <v>13</v>
      </c>
      <c r="I75" s="131">
        <v>13</v>
      </c>
      <c r="J75" s="131">
        <v>13</v>
      </c>
      <c r="K75" s="131">
        <v>13</v>
      </c>
      <c r="L75" s="131">
        <v>13</v>
      </c>
      <c r="M75" s="131">
        <v>13</v>
      </c>
      <c r="N75" s="131">
        <v>13</v>
      </c>
      <c r="O75" s="131">
        <v>13</v>
      </c>
      <c r="P75" s="131">
        <v>13</v>
      </c>
      <c r="Q75" s="131"/>
      <c r="R75" s="131"/>
      <c r="S75" s="131"/>
      <c r="T75" s="131"/>
      <c r="U75" s="131"/>
      <c r="V75" s="131"/>
    </row>
    <row r="76" spans="1:22" s="130" customFormat="1" x14ac:dyDescent="0.25">
      <c r="A76" s="130">
        <f t="shared" ca="1" si="2"/>
        <v>14</v>
      </c>
      <c r="C76" s="131">
        <v>14</v>
      </c>
      <c r="D76" s="131">
        <v>14</v>
      </c>
      <c r="E76" s="131">
        <v>14</v>
      </c>
      <c r="F76" s="131">
        <v>14</v>
      </c>
      <c r="G76" s="131">
        <v>14</v>
      </c>
      <c r="H76" s="131">
        <v>14</v>
      </c>
      <c r="I76" s="131" t="s">
        <v>904</v>
      </c>
      <c r="J76" s="131">
        <v>14</v>
      </c>
      <c r="K76" s="131">
        <v>14</v>
      </c>
      <c r="L76" s="131">
        <v>14</v>
      </c>
      <c r="M76" s="131">
        <v>14</v>
      </c>
      <c r="N76" s="131">
        <v>14</v>
      </c>
      <c r="O76" s="131">
        <v>14</v>
      </c>
      <c r="P76" s="131">
        <v>14</v>
      </c>
      <c r="Q76" s="131"/>
      <c r="R76" s="131"/>
      <c r="S76" s="131"/>
      <c r="T76" s="131"/>
      <c r="U76" s="131"/>
      <c r="V76" s="131"/>
    </row>
    <row r="77" spans="1:22" s="130" customFormat="1" x14ac:dyDescent="0.25">
      <c r="A77" s="130">
        <f t="shared" ca="1" si="2"/>
        <v>16</v>
      </c>
      <c r="C77" s="131">
        <v>16</v>
      </c>
      <c r="D77" s="131">
        <v>16</v>
      </c>
      <c r="E77" s="131">
        <v>16</v>
      </c>
      <c r="F77" s="131">
        <v>16</v>
      </c>
      <c r="G77" s="131">
        <v>16</v>
      </c>
      <c r="H77" s="131">
        <v>16</v>
      </c>
      <c r="I77" s="131" t="s">
        <v>905</v>
      </c>
      <c r="J77" s="131">
        <v>16</v>
      </c>
      <c r="K77" s="131">
        <v>16</v>
      </c>
      <c r="L77" s="131">
        <v>16</v>
      </c>
      <c r="M77" s="131">
        <v>16</v>
      </c>
      <c r="N77" s="131">
        <v>16</v>
      </c>
      <c r="O77" s="131">
        <v>16</v>
      </c>
      <c r="P77" s="131">
        <v>16</v>
      </c>
      <c r="Q77" s="131"/>
      <c r="R77" s="131"/>
      <c r="S77" s="131"/>
      <c r="T77" s="131"/>
      <c r="U77" s="131"/>
      <c r="V77" s="131"/>
    </row>
    <row r="78" spans="1:22" s="130" customFormat="1" x14ac:dyDescent="0.25">
      <c r="A78" s="130">
        <f t="shared" ca="1" si="2"/>
        <v>17</v>
      </c>
      <c r="C78" s="131">
        <v>17</v>
      </c>
      <c r="D78" s="131">
        <v>17</v>
      </c>
      <c r="E78" s="131">
        <v>17</v>
      </c>
      <c r="F78" s="131">
        <v>17</v>
      </c>
      <c r="G78" s="131">
        <v>17</v>
      </c>
      <c r="H78" s="131">
        <v>17</v>
      </c>
      <c r="I78" s="131" t="s">
        <v>906</v>
      </c>
      <c r="J78" s="131">
        <v>17</v>
      </c>
      <c r="K78" s="131">
        <v>17</v>
      </c>
      <c r="L78" s="131">
        <v>17</v>
      </c>
      <c r="M78" s="131">
        <v>17</v>
      </c>
      <c r="N78" s="131">
        <v>17</v>
      </c>
      <c r="O78" s="131">
        <v>17</v>
      </c>
      <c r="P78" s="131">
        <v>17</v>
      </c>
      <c r="Q78" s="131"/>
      <c r="R78" s="131"/>
      <c r="S78" s="131"/>
      <c r="T78" s="131"/>
      <c r="U78" s="131"/>
      <c r="V78" s="131"/>
    </row>
    <row r="79" spans="1:22" x14ac:dyDescent="0.25">
      <c r="A79" s="121" t="str">
        <f t="shared" ca="1" si="2"/>
        <v>Створка</v>
      </c>
      <c r="C79" s="122" t="s">
        <v>13</v>
      </c>
      <c r="D79" s="122" t="s">
        <v>97</v>
      </c>
      <c r="E79" s="122" t="s">
        <v>714</v>
      </c>
      <c r="F79" s="122" t="s">
        <v>355</v>
      </c>
      <c r="G79" s="122" t="s">
        <v>355</v>
      </c>
      <c r="H79" s="122" t="s">
        <v>355</v>
      </c>
      <c r="I79" s="131" t="s">
        <v>907</v>
      </c>
      <c r="J79" s="122" t="s">
        <v>1119</v>
      </c>
      <c r="K79" s="122" t="s">
        <v>1249</v>
      </c>
      <c r="L79" s="122" t="s">
        <v>1422</v>
      </c>
      <c r="M79" s="329" t="s">
        <v>1819</v>
      </c>
      <c r="N79" s="122" t="s">
        <v>1979</v>
      </c>
      <c r="O79" s="122" t="s">
        <v>2128</v>
      </c>
      <c r="P79" s="329" t="s">
        <v>2244</v>
      </c>
      <c r="Q79" s="122"/>
      <c r="R79" s="122"/>
      <c r="S79" s="122"/>
      <c r="T79" s="122"/>
      <c r="U79" s="122"/>
      <c r="V79" s="122"/>
    </row>
    <row r="80" spans="1:22" x14ac:dyDescent="0.25">
      <c r="A80" s="121" t="str">
        <f t="shared" ca="1" si="2"/>
        <v>Ручка</v>
      </c>
      <c r="C80" s="122" t="s">
        <v>101</v>
      </c>
      <c r="D80" s="122" t="s">
        <v>102</v>
      </c>
      <c r="E80" s="122" t="s">
        <v>553</v>
      </c>
      <c r="F80" s="122" t="s">
        <v>551</v>
      </c>
      <c r="G80" s="122" t="s">
        <v>1935</v>
      </c>
      <c r="H80" s="122" t="s">
        <v>552</v>
      </c>
      <c r="I80" s="122" t="s">
        <v>908</v>
      </c>
      <c r="J80" s="122" t="s">
        <v>1120</v>
      </c>
      <c r="K80" s="122" t="s">
        <v>1250</v>
      </c>
      <c r="L80" s="122" t="s">
        <v>1423</v>
      </c>
      <c r="M80" s="329" t="s">
        <v>1820</v>
      </c>
      <c r="N80" s="122" t="s">
        <v>1980</v>
      </c>
      <c r="O80" s="122" t="s">
        <v>2129</v>
      </c>
      <c r="P80" s="329" t="s">
        <v>2245</v>
      </c>
      <c r="Q80" s="122"/>
      <c r="R80" s="122"/>
      <c r="S80" s="122"/>
      <c r="T80" s="122"/>
      <c r="U80" s="122"/>
      <c r="V80" s="122"/>
    </row>
    <row r="81" spans="1:22" x14ac:dyDescent="0.25">
      <c r="A81" s="121" t="str">
        <f t="shared" ca="1" si="2"/>
        <v>Длина</v>
      </c>
      <c r="C81" s="122" t="s">
        <v>152</v>
      </c>
      <c r="D81" s="122" t="s">
        <v>190</v>
      </c>
      <c r="E81" s="122" t="s">
        <v>554</v>
      </c>
      <c r="F81" s="122" t="s">
        <v>555</v>
      </c>
      <c r="G81" s="122" t="s">
        <v>556</v>
      </c>
      <c r="H81" s="122" t="s">
        <v>557</v>
      </c>
      <c r="I81" s="122" t="s">
        <v>909</v>
      </c>
      <c r="J81" s="122" t="s">
        <v>1121</v>
      </c>
      <c r="K81" s="122" t="s">
        <v>1251</v>
      </c>
      <c r="L81" s="122" t="s">
        <v>1424</v>
      </c>
      <c r="M81" s="329" t="s">
        <v>1821</v>
      </c>
      <c r="N81" s="122" t="s">
        <v>1981</v>
      </c>
      <c r="O81" s="122" t="s">
        <v>2130</v>
      </c>
      <c r="P81" s="329" t="s">
        <v>2246</v>
      </c>
      <c r="Q81" s="122"/>
      <c r="R81" s="122"/>
      <c r="S81" s="122"/>
      <c r="T81" s="122"/>
      <c r="U81" s="122"/>
      <c r="V81" s="122"/>
    </row>
    <row r="82" spans="1:22" x14ac:dyDescent="0.25">
      <c r="A82" s="121" t="str">
        <f t="shared" ca="1" si="2"/>
        <v>Ширина</v>
      </c>
      <c r="C82" s="122" t="s">
        <v>59</v>
      </c>
      <c r="D82" s="122" t="s">
        <v>81</v>
      </c>
      <c r="E82" s="122" t="s">
        <v>566</v>
      </c>
      <c r="F82" s="122" t="s">
        <v>568</v>
      </c>
      <c r="G82" s="122" t="s">
        <v>558</v>
      </c>
      <c r="H82" s="122" t="s">
        <v>565</v>
      </c>
      <c r="I82" s="122" t="s">
        <v>910</v>
      </c>
      <c r="J82" s="122" t="s">
        <v>1122</v>
      </c>
      <c r="K82" s="122" t="s">
        <v>1252</v>
      </c>
      <c r="L82" s="122" t="s">
        <v>1425</v>
      </c>
      <c r="M82" s="329" t="s">
        <v>1822</v>
      </c>
      <c r="N82" s="122" t="s">
        <v>1982</v>
      </c>
      <c r="O82" s="122" t="s">
        <v>2131</v>
      </c>
      <c r="P82" s="329" t="s">
        <v>2247</v>
      </c>
      <c r="Q82" s="122"/>
      <c r="R82" s="122"/>
      <c r="S82" s="122"/>
      <c r="T82" s="122"/>
      <c r="U82" s="122"/>
      <c r="V82" s="122"/>
    </row>
    <row r="83" spans="1:22" x14ac:dyDescent="0.25">
      <c r="A83" s="121" t="str">
        <f t="shared" ca="1" si="2"/>
        <v>Высота</v>
      </c>
      <c r="C83" s="122" t="s">
        <v>11</v>
      </c>
      <c r="D83" s="122" t="s">
        <v>82</v>
      </c>
      <c r="E83" s="122" t="s">
        <v>715</v>
      </c>
      <c r="F83" s="122" t="s">
        <v>567</v>
      </c>
      <c r="G83" s="122" t="s">
        <v>559</v>
      </c>
      <c r="H83" s="122" t="s">
        <v>564</v>
      </c>
      <c r="I83" s="122" t="s">
        <v>911</v>
      </c>
      <c r="J83" s="122" t="s">
        <v>1123</v>
      </c>
      <c r="K83" s="122" t="s">
        <v>1253</v>
      </c>
      <c r="L83" s="122" t="s">
        <v>1426</v>
      </c>
      <c r="M83" s="329" t="s">
        <v>1823</v>
      </c>
      <c r="N83" s="122" t="s">
        <v>1983</v>
      </c>
      <c r="O83" s="122" t="s">
        <v>2132</v>
      </c>
      <c r="P83" s="329" t="s">
        <v>2248</v>
      </c>
      <c r="Q83" s="122"/>
      <c r="R83" s="122"/>
      <c r="S83" s="122"/>
      <c r="T83" s="122"/>
      <c r="U83" s="122"/>
      <c r="V83" s="122"/>
    </row>
    <row r="84" spans="1:22" x14ac:dyDescent="0.25">
      <c r="A84" s="121" t="str">
        <f t="shared" ca="1" si="2"/>
        <v>Толщина</v>
      </c>
      <c r="C84" s="122" t="s">
        <v>69</v>
      </c>
      <c r="D84" s="122" t="s">
        <v>867</v>
      </c>
      <c r="E84" s="122" t="s">
        <v>866</v>
      </c>
      <c r="F84" s="122" t="s">
        <v>868</v>
      </c>
      <c r="G84" s="122" t="s">
        <v>560</v>
      </c>
      <c r="H84" s="122" t="s">
        <v>563</v>
      </c>
      <c r="I84" s="122" t="s">
        <v>912</v>
      </c>
      <c r="J84" s="122" t="s">
        <v>1124</v>
      </c>
      <c r="K84" s="122" t="s">
        <v>1254</v>
      </c>
      <c r="L84" s="122" t="s">
        <v>1427</v>
      </c>
      <c r="M84" s="329" t="s">
        <v>1824</v>
      </c>
      <c r="N84" s="122" t="s">
        <v>1984</v>
      </c>
      <c r="O84" s="122" t="s">
        <v>2133</v>
      </c>
      <c r="P84" s="329" t="s">
        <v>2249</v>
      </c>
      <c r="Q84" s="122"/>
      <c r="R84" s="122"/>
      <c r="S84" s="122"/>
      <c r="T84" s="122"/>
      <c r="U84" s="122"/>
      <c r="V84" s="122"/>
    </row>
    <row r="85" spans="1:22" s="123" customFormat="1" ht="15.75" thickBot="1" x14ac:dyDescent="0.3">
      <c r="A85" s="123" t="str">
        <f t="shared" ca="1" si="2"/>
        <v>Материал</v>
      </c>
      <c r="C85" s="122" t="s">
        <v>61</v>
      </c>
      <c r="D85" s="122" t="s">
        <v>84</v>
      </c>
      <c r="E85" s="122" t="s">
        <v>84</v>
      </c>
      <c r="F85" s="122" t="s">
        <v>570</v>
      </c>
      <c r="G85" s="122" t="s">
        <v>569</v>
      </c>
      <c r="H85" s="122" t="s">
        <v>61</v>
      </c>
      <c r="I85" s="122" t="s">
        <v>913</v>
      </c>
      <c r="J85" s="122" t="s">
        <v>1125</v>
      </c>
      <c r="K85" s="122" t="s">
        <v>1255</v>
      </c>
      <c r="L85" s="122" t="s">
        <v>1428</v>
      </c>
      <c r="M85" s="329" t="s">
        <v>1825</v>
      </c>
      <c r="N85" s="122" t="s">
        <v>61</v>
      </c>
      <c r="O85" s="122" t="s">
        <v>2134</v>
      </c>
      <c r="P85" s="329" t="s">
        <v>2250</v>
      </c>
      <c r="Q85" s="122"/>
      <c r="R85" s="122"/>
      <c r="S85" s="122"/>
      <c r="T85" s="122"/>
      <c r="U85" s="122"/>
      <c r="V85" s="122"/>
    </row>
    <row r="86" spans="1:22" x14ac:dyDescent="0.25">
      <c r="A86" s="121" t="str">
        <f t="shared" ca="1" si="2"/>
        <v>Вес</v>
      </c>
      <c r="C86" s="122" t="s">
        <v>62</v>
      </c>
      <c r="D86" s="122" t="s">
        <v>83</v>
      </c>
      <c r="E86" s="122" t="s">
        <v>716</v>
      </c>
      <c r="F86" s="122" t="s">
        <v>562</v>
      </c>
      <c r="G86" s="122" t="s">
        <v>561</v>
      </c>
      <c r="H86" s="122" t="s">
        <v>562</v>
      </c>
      <c r="I86" s="122" t="s">
        <v>562</v>
      </c>
      <c r="J86" s="122" t="s">
        <v>1126</v>
      </c>
      <c r="K86" s="122" t="s">
        <v>1256</v>
      </c>
      <c r="L86" s="122" t="s">
        <v>1429</v>
      </c>
      <c r="M86" s="329" t="s">
        <v>1826</v>
      </c>
      <c r="N86" s="122" t="s">
        <v>1985</v>
      </c>
      <c r="O86" s="122" t="s">
        <v>2135</v>
      </c>
      <c r="P86" s="329" t="s">
        <v>2251</v>
      </c>
      <c r="Q86" s="122"/>
      <c r="R86" s="122"/>
      <c r="S86" s="122"/>
      <c r="T86" s="122"/>
      <c r="U86" s="122"/>
      <c r="V86" s="122"/>
    </row>
    <row r="87" spans="1:22" x14ac:dyDescent="0.25">
      <c r="A87" s="121" t="str">
        <f t="shared" ca="1" si="2"/>
        <v>Выбранная фурнитура не подходит к требуемым размерам.</v>
      </c>
      <c r="C87" s="122" t="s">
        <v>153</v>
      </c>
      <c r="D87" s="122" t="s">
        <v>333</v>
      </c>
      <c r="E87" s="122" t="s">
        <v>717</v>
      </c>
      <c r="F87" s="122" t="s">
        <v>335</v>
      </c>
      <c r="G87" s="122" t="s">
        <v>337</v>
      </c>
      <c r="H87" s="122" t="s">
        <v>336</v>
      </c>
      <c r="I87" s="122" t="s">
        <v>914</v>
      </c>
      <c r="J87" s="122" t="s">
        <v>1127</v>
      </c>
      <c r="K87" s="122" t="s">
        <v>1257</v>
      </c>
      <c r="L87" s="122" t="s">
        <v>1430</v>
      </c>
      <c r="M87" s="329" t="s">
        <v>1827</v>
      </c>
      <c r="N87" s="122" t="s">
        <v>1986</v>
      </c>
      <c r="O87" s="122" t="s">
        <v>2136</v>
      </c>
      <c r="P87" s="329" t="s">
        <v>2252</v>
      </c>
      <c r="Q87" s="122"/>
      <c r="R87" s="122"/>
      <c r="S87" s="122"/>
      <c r="T87" s="122"/>
      <c r="U87" s="122"/>
      <c r="V87" s="122"/>
    </row>
    <row r="88" spans="1:22" x14ac:dyDescent="0.25">
      <c r="A88" s="121" t="str">
        <f t="shared" ca="1" si="2"/>
        <v>Выбранная фурнитура не подходит к требуемому весу.</v>
      </c>
      <c r="C88" s="122" t="s">
        <v>154</v>
      </c>
      <c r="D88" s="122" t="s">
        <v>334</v>
      </c>
      <c r="E88" s="122" t="s">
        <v>718</v>
      </c>
      <c r="F88" s="122" t="s">
        <v>339</v>
      </c>
      <c r="G88" s="122" t="s">
        <v>338</v>
      </c>
      <c r="H88" s="122" t="s">
        <v>340</v>
      </c>
      <c r="I88" s="122" t="s">
        <v>915</v>
      </c>
      <c r="J88" s="122" t="s">
        <v>1128</v>
      </c>
      <c r="K88" s="122" t="s">
        <v>1258</v>
      </c>
      <c r="L88" s="122" t="s">
        <v>1431</v>
      </c>
      <c r="M88" s="329" t="s">
        <v>1828</v>
      </c>
      <c r="N88" s="122" t="s">
        <v>1987</v>
      </c>
      <c r="O88" s="122" t="s">
        <v>2137</v>
      </c>
      <c r="P88" s="329" t="s">
        <v>2253</v>
      </c>
      <c r="Q88" s="122"/>
      <c r="R88" s="122"/>
      <c r="S88" s="122"/>
      <c r="T88" s="122"/>
      <c r="U88" s="122"/>
      <c r="V88" s="122"/>
    </row>
    <row r="89" spans="1:22" ht="105" x14ac:dyDescent="0.25">
      <c r="A89" s="121" t="str">
        <f t="shared" ref="A89:A120" ca="1" si="3">OFFSET(B89,0,$B$2,1,1)</f>
        <v>* Принятый удельный вес соответствует среднему значению. 
   Фактические значения могут отличаться. 
   Рекомендуем произвести пробную установку.</v>
      </c>
      <c r="C89" s="133" t="s">
        <v>692</v>
      </c>
      <c r="D89" s="133" t="s">
        <v>693</v>
      </c>
      <c r="E89" s="133" t="s">
        <v>1533</v>
      </c>
      <c r="F89" s="133" t="s">
        <v>694</v>
      </c>
      <c r="G89" s="133" t="s">
        <v>695</v>
      </c>
      <c r="H89" s="133" t="s">
        <v>696</v>
      </c>
      <c r="I89" s="133" t="s">
        <v>916</v>
      </c>
      <c r="J89" s="133" t="s">
        <v>1129</v>
      </c>
      <c r="K89" s="122" t="s">
        <v>1259</v>
      </c>
      <c r="L89" s="133" t="s">
        <v>1432</v>
      </c>
      <c r="M89" s="133" t="s">
        <v>1829</v>
      </c>
      <c r="N89" s="122" t="s">
        <v>1988</v>
      </c>
      <c r="O89" s="122" t="s">
        <v>2138</v>
      </c>
      <c r="P89" s="133" t="s">
        <v>2254</v>
      </c>
      <c r="Q89" s="122"/>
      <c r="R89" s="122"/>
      <c r="S89" s="122"/>
      <c r="T89" s="122"/>
      <c r="U89" s="122"/>
      <c r="V89" s="122"/>
    </row>
    <row r="90" spans="1:22" s="124" customFormat="1" x14ac:dyDescent="0.25">
      <c r="A90" s="121" t="str">
        <f t="shared" ca="1" si="3"/>
        <v>Решения с</v>
      </c>
      <c r="C90" s="122" t="s">
        <v>175</v>
      </c>
      <c r="D90" s="122" t="s">
        <v>191</v>
      </c>
      <c r="E90" s="122" t="s">
        <v>301</v>
      </c>
      <c r="F90" s="122" t="s">
        <v>356</v>
      </c>
      <c r="G90" s="122" t="s">
        <v>357</v>
      </c>
      <c r="H90" s="122" t="s">
        <v>358</v>
      </c>
      <c r="I90" s="122" t="s">
        <v>917</v>
      </c>
      <c r="J90" s="122" t="s">
        <v>1130</v>
      </c>
      <c r="K90" s="122" t="s">
        <v>1260</v>
      </c>
      <c r="L90" s="122" t="s">
        <v>1433</v>
      </c>
      <c r="M90" s="329" t="s">
        <v>1830</v>
      </c>
      <c r="N90" s="122" t="s">
        <v>1989</v>
      </c>
      <c r="O90" s="122" t="s">
        <v>2139</v>
      </c>
      <c r="P90" s="329" t="s">
        <v>2255</v>
      </c>
      <c r="Q90" s="122"/>
      <c r="R90" s="122"/>
      <c r="S90" s="122"/>
      <c r="T90" s="122"/>
      <c r="U90" s="122"/>
      <c r="V90" s="122"/>
    </row>
    <row r="91" spans="1:22" s="124" customFormat="1" x14ac:dyDescent="0.25">
      <c r="A91" s="121" t="str">
        <f t="shared" ca="1" si="3"/>
        <v>Решение с</v>
      </c>
      <c r="C91" s="122" t="s">
        <v>196</v>
      </c>
      <c r="D91" s="122" t="s">
        <v>197</v>
      </c>
      <c r="E91" s="122" t="s">
        <v>302</v>
      </c>
      <c r="F91" s="122" t="s">
        <v>361</v>
      </c>
      <c r="G91" s="122" t="s">
        <v>360</v>
      </c>
      <c r="H91" s="122" t="s">
        <v>359</v>
      </c>
      <c r="I91" s="122" t="s">
        <v>918</v>
      </c>
      <c r="J91" s="122" t="s">
        <v>1131</v>
      </c>
      <c r="K91" s="122" t="s">
        <v>1260</v>
      </c>
      <c r="L91" s="122" t="s">
        <v>1434</v>
      </c>
      <c r="M91" s="329" t="s">
        <v>1831</v>
      </c>
      <c r="N91" s="122" t="s">
        <v>1990</v>
      </c>
      <c r="O91" s="122" t="s">
        <v>2140</v>
      </c>
      <c r="P91" s="329" t="s">
        <v>2256</v>
      </c>
      <c r="Q91" s="122"/>
      <c r="R91" s="122"/>
      <c r="S91" s="122"/>
      <c r="T91" s="122"/>
      <c r="U91" s="122"/>
      <c r="V91" s="122"/>
    </row>
    <row r="92" spans="1:22" s="124" customFormat="1" x14ac:dyDescent="0.25">
      <c r="A92" s="121" t="str">
        <f t="shared" ca="1" si="3"/>
        <v>фурнитурой</v>
      </c>
      <c r="C92" s="122" t="s">
        <v>678</v>
      </c>
      <c r="D92" s="122" t="s">
        <v>679</v>
      </c>
      <c r="E92" s="122" t="s">
        <v>192</v>
      </c>
      <c r="F92" s="122" t="s">
        <v>362</v>
      </c>
      <c r="G92" s="122" t="s">
        <v>363</v>
      </c>
      <c r="H92" s="122" t="s">
        <v>364</v>
      </c>
      <c r="I92" s="122" t="s">
        <v>919</v>
      </c>
      <c r="J92" s="122" t="s">
        <v>1132</v>
      </c>
      <c r="K92" s="122" t="s">
        <v>1220</v>
      </c>
      <c r="L92" s="122" t="s">
        <v>1435</v>
      </c>
      <c r="M92" s="329" t="s">
        <v>1832</v>
      </c>
      <c r="N92" s="122" t="s">
        <v>1991</v>
      </c>
      <c r="O92" s="122" t="s">
        <v>2141</v>
      </c>
      <c r="P92" s="329" t="s">
        <v>2257</v>
      </c>
      <c r="Q92" s="122"/>
      <c r="R92" s="122"/>
      <c r="S92" s="122"/>
      <c r="T92" s="122"/>
      <c r="U92" s="122"/>
      <c r="V92" s="122"/>
    </row>
    <row r="93" spans="1:22" s="124" customFormat="1" x14ac:dyDescent="0.25">
      <c r="A93" s="121" t="str">
        <f t="shared" ca="1" si="3"/>
        <v>Высота корпуса</v>
      </c>
      <c r="C93" s="122" t="s">
        <v>177</v>
      </c>
      <c r="D93" s="122" t="s">
        <v>824</v>
      </c>
      <c r="E93" s="122" t="s">
        <v>719</v>
      </c>
      <c r="F93" s="122" t="s">
        <v>367</v>
      </c>
      <c r="G93" s="122" t="s">
        <v>366</v>
      </c>
      <c r="H93" s="122" t="s">
        <v>365</v>
      </c>
      <c r="I93" s="122" t="s">
        <v>920</v>
      </c>
      <c r="J93" s="122" t="s">
        <v>1133</v>
      </c>
      <c r="K93" s="122" t="s">
        <v>1261</v>
      </c>
      <c r="L93" s="122" t="s">
        <v>1436</v>
      </c>
      <c r="M93" s="329" t="s">
        <v>1833</v>
      </c>
      <c r="N93" s="122" t="s">
        <v>1992</v>
      </c>
      <c r="O93" s="122" t="s">
        <v>2142</v>
      </c>
      <c r="P93" s="329" t="s">
        <v>2258</v>
      </c>
      <c r="Q93" s="122"/>
      <c r="R93" s="122"/>
      <c r="S93" s="122"/>
      <c r="T93" s="122"/>
      <c r="U93" s="122"/>
      <c r="V93" s="122"/>
    </row>
    <row r="94" spans="1:22" s="124" customFormat="1" x14ac:dyDescent="0.25">
      <c r="A94" s="121" t="str">
        <f t="shared" ca="1" si="3"/>
        <v>Вес створки</v>
      </c>
      <c r="C94" s="122" t="s">
        <v>178</v>
      </c>
      <c r="D94" s="122" t="s">
        <v>825</v>
      </c>
      <c r="E94" s="122" t="s">
        <v>720</v>
      </c>
      <c r="F94" s="122" t="s">
        <v>368</v>
      </c>
      <c r="G94" s="122" t="s">
        <v>369</v>
      </c>
      <c r="H94" s="122" t="s">
        <v>368</v>
      </c>
      <c r="I94" s="122" t="s">
        <v>921</v>
      </c>
      <c r="J94" s="122" t="s">
        <v>1134</v>
      </c>
      <c r="K94" s="122" t="s">
        <v>1262</v>
      </c>
      <c r="L94" s="122" t="s">
        <v>1437</v>
      </c>
      <c r="M94" s="329" t="s">
        <v>1834</v>
      </c>
      <c r="N94" s="122" t="s">
        <v>1993</v>
      </c>
      <c r="O94" s="122" t="s">
        <v>2143</v>
      </c>
      <c r="P94" s="329" t="s">
        <v>2259</v>
      </c>
      <c r="Q94" s="122"/>
      <c r="R94" s="122"/>
      <c r="S94" s="122"/>
      <c r="T94" s="122"/>
      <c r="U94" s="122"/>
      <c r="V94" s="122"/>
    </row>
    <row r="95" spans="1:22" s="132" customFormat="1" x14ac:dyDescent="0.25">
      <c r="A95" s="132" t="str">
        <f t="shared" ca="1" si="3"/>
        <v>Фурнитура</v>
      </c>
      <c r="C95" s="122" t="s">
        <v>169</v>
      </c>
      <c r="D95" s="122" t="s">
        <v>193</v>
      </c>
      <c r="E95" s="122" t="s">
        <v>721</v>
      </c>
      <c r="F95" s="122" t="s">
        <v>372</v>
      </c>
      <c r="G95" s="122" t="s">
        <v>371</v>
      </c>
      <c r="H95" s="122" t="s">
        <v>370</v>
      </c>
      <c r="I95" s="122" t="s">
        <v>922</v>
      </c>
      <c r="J95" s="122" t="s">
        <v>1135</v>
      </c>
      <c r="K95" s="122" t="s">
        <v>1220</v>
      </c>
      <c r="L95" s="122" t="s">
        <v>1438</v>
      </c>
      <c r="M95" s="329" t="s">
        <v>1835</v>
      </c>
      <c r="N95" s="122" t="s">
        <v>1994</v>
      </c>
      <c r="O95" s="122" t="s">
        <v>2144</v>
      </c>
      <c r="P95" s="329" t="s">
        <v>2260</v>
      </c>
      <c r="Q95" s="122"/>
      <c r="R95" s="122"/>
      <c r="S95" s="122"/>
      <c r="T95" s="122"/>
      <c r="U95" s="122"/>
      <c r="V95" s="122"/>
    </row>
    <row r="96" spans="1:22" s="124" customFormat="1" x14ac:dyDescent="0.25">
      <c r="A96" s="121" t="str">
        <f t="shared" ca="1" si="3"/>
        <v>Требуется также</v>
      </c>
      <c r="C96" s="122" t="s">
        <v>179</v>
      </c>
      <c r="D96" s="122" t="s">
        <v>194</v>
      </c>
      <c r="E96" s="122" t="s">
        <v>303</v>
      </c>
      <c r="F96" s="122" t="s">
        <v>373</v>
      </c>
      <c r="G96" s="122" t="s">
        <v>374</v>
      </c>
      <c r="H96" s="122" t="s">
        <v>375</v>
      </c>
      <c r="I96" s="122" t="s">
        <v>923</v>
      </c>
      <c r="J96" s="122" t="s">
        <v>1136</v>
      </c>
      <c r="K96" s="122" t="s">
        <v>1263</v>
      </c>
      <c r="L96" s="122" t="s">
        <v>1439</v>
      </c>
      <c r="M96" s="329" t="s">
        <v>1836</v>
      </c>
      <c r="N96" s="122" t="s">
        <v>1995</v>
      </c>
      <c r="O96" s="122" t="s">
        <v>2145</v>
      </c>
      <c r="P96" s="329" t="s">
        <v>2261</v>
      </c>
      <c r="Q96" s="122"/>
      <c r="R96" s="122"/>
      <c r="S96" s="122"/>
      <c r="T96" s="122"/>
      <c r="U96" s="122"/>
      <c r="V96" s="122"/>
    </row>
    <row r="97" spans="1:22" s="124" customFormat="1" x14ac:dyDescent="0.25">
      <c r="A97" s="121" t="str">
        <f t="shared" ca="1" si="3"/>
        <v>Мы рекомендуем:</v>
      </c>
      <c r="C97" s="122" t="s">
        <v>756</v>
      </c>
      <c r="D97" s="122" t="s">
        <v>757</v>
      </c>
      <c r="E97" s="122" t="s">
        <v>758</v>
      </c>
      <c r="F97" s="122" t="s">
        <v>863</v>
      </c>
      <c r="G97" s="122" t="s">
        <v>864</v>
      </c>
      <c r="H97" s="122" t="s">
        <v>865</v>
      </c>
      <c r="I97" s="122" t="s">
        <v>924</v>
      </c>
      <c r="J97" s="122" t="s">
        <v>1137</v>
      </c>
      <c r="K97" s="122" t="s">
        <v>1264</v>
      </c>
      <c r="L97" s="122" t="s">
        <v>1516</v>
      </c>
      <c r="M97" s="329" t="s">
        <v>1837</v>
      </c>
      <c r="N97" s="122" t="s">
        <v>1996</v>
      </c>
      <c r="O97" s="122" t="s">
        <v>2146</v>
      </c>
      <c r="P97" s="329" t="s">
        <v>2262</v>
      </c>
      <c r="Q97" s="122"/>
      <c r="R97" s="122"/>
      <c r="S97" s="122"/>
      <c r="T97" s="122"/>
      <c r="U97" s="122"/>
      <c r="V97" s="122"/>
    </row>
    <row r="98" spans="1:22" s="124" customFormat="1" x14ac:dyDescent="0.25">
      <c r="A98" s="121" t="str">
        <f t="shared" ca="1" si="3"/>
        <v>Шарнир</v>
      </c>
      <c r="C98" s="122" t="s">
        <v>677</v>
      </c>
      <c r="D98" s="122" t="s">
        <v>759</v>
      </c>
      <c r="E98" s="122" t="s">
        <v>708</v>
      </c>
      <c r="F98" s="122" t="s">
        <v>709</v>
      </c>
      <c r="G98" s="122" t="s">
        <v>710</v>
      </c>
      <c r="H98" s="122" t="s">
        <v>711</v>
      </c>
      <c r="I98" s="122" t="s">
        <v>925</v>
      </c>
      <c r="J98" t="s">
        <v>2084</v>
      </c>
      <c r="K98" s="122" t="s">
        <v>1265</v>
      </c>
      <c r="L98" s="122" t="s">
        <v>1517</v>
      </c>
      <c r="M98" s="329" t="s">
        <v>1838</v>
      </c>
      <c r="N98" s="122" t="s">
        <v>1997</v>
      </c>
      <c r="O98" s="122" t="s">
        <v>2147</v>
      </c>
      <c r="P98" s="329" t="s">
        <v>2263</v>
      </c>
      <c r="Q98" s="122"/>
      <c r="R98" s="122"/>
      <c r="S98" s="122"/>
      <c r="T98" s="122"/>
      <c r="U98" s="122"/>
      <c r="V98" s="122"/>
    </row>
    <row r="99" spans="1:22" s="124" customFormat="1" x14ac:dyDescent="0.25">
      <c r="A99" s="121" t="str">
        <f t="shared" ca="1" si="3"/>
        <v>и</v>
      </c>
      <c r="C99" s="122" t="s">
        <v>681</v>
      </c>
      <c r="D99" s="122" t="s">
        <v>686</v>
      </c>
      <c r="E99" s="122" t="s">
        <v>683</v>
      </c>
      <c r="F99" s="122" t="s">
        <v>682</v>
      </c>
      <c r="G99" s="122" t="s">
        <v>685</v>
      </c>
      <c r="H99" s="122" t="s">
        <v>684</v>
      </c>
      <c r="I99" s="122" t="s">
        <v>682</v>
      </c>
      <c r="J99" s="122" t="s">
        <v>1138</v>
      </c>
      <c r="K99" s="122" t="s">
        <v>1266</v>
      </c>
      <c r="L99" s="122" t="s">
        <v>1518</v>
      </c>
      <c r="M99" s="329" t="s">
        <v>1839</v>
      </c>
      <c r="N99" s="122" t="s">
        <v>1998</v>
      </c>
      <c r="O99" s="122" t="s">
        <v>2148</v>
      </c>
      <c r="P99" s="329" t="s">
        <v>37</v>
      </c>
      <c r="Q99" s="122"/>
      <c r="R99" s="122"/>
      <c r="S99" s="122"/>
      <c r="T99" s="122"/>
      <c r="U99" s="122"/>
      <c r="V99" s="122"/>
    </row>
    <row r="100" spans="1:22" s="124" customFormat="1" x14ac:dyDescent="0.25">
      <c r="A100" s="121">
        <f t="shared" ca="1" si="3"/>
        <v>0</v>
      </c>
      <c r="C100" s="122" t="s">
        <v>680</v>
      </c>
      <c r="D100" s="122" t="s">
        <v>690</v>
      </c>
      <c r="E100" s="122" t="s">
        <v>722</v>
      </c>
      <c r="F100" s="122" t="s">
        <v>689</v>
      </c>
      <c r="G100" s="122" t="s">
        <v>687</v>
      </c>
      <c r="H100" s="122" t="s">
        <v>688</v>
      </c>
      <c r="I100" s="122" t="s">
        <v>926</v>
      </c>
      <c r="J100" s="122"/>
      <c r="K100" s="122" t="s">
        <v>1267</v>
      </c>
      <c r="L100" s="122"/>
      <c r="M100" s="329" t="s">
        <v>1840</v>
      </c>
      <c r="N100" s="122" t="s">
        <v>1999</v>
      </c>
      <c r="O100" s="122" t="s">
        <v>2149</v>
      </c>
      <c r="P100" s="329" t="s">
        <v>2264</v>
      </c>
      <c r="Q100" s="122"/>
      <c r="R100" s="122"/>
      <c r="S100" s="122"/>
      <c r="T100" s="122"/>
      <c r="U100" s="122"/>
      <c r="V100" s="122"/>
    </row>
    <row r="101" spans="1:22" x14ac:dyDescent="0.25">
      <c r="A101" s="121" t="str">
        <f t="shared" ca="1" si="3"/>
        <v>Рассчитанный вес:</v>
      </c>
      <c r="C101" s="122" t="s">
        <v>600</v>
      </c>
      <c r="D101" s="122" t="s">
        <v>601</v>
      </c>
      <c r="E101" s="122" t="s">
        <v>700</v>
      </c>
      <c r="F101" s="122" t="s">
        <v>698</v>
      </c>
      <c r="G101" s="122" t="s">
        <v>699</v>
      </c>
      <c r="H101" s="122" t="s">
        <v>697</v>
      </c>
      <c r="I101" s="122" t="s">
        <v>927</v>
      </c>
      <c r="J101" s="122" t="s">
        <v>1139</v>
      </c>
      <c r="K101" s="122" t="s">
        <v>1268</v>
      </c>
      <c r="L101" s="122" t="s">
        <v>1519</v>
      </c>
      <c r="M101" s="329" t="s">
        <v>1841</v>
      </c>
      <c r="N101" s="122" t="s">
        <v>2000</v>
      </c>
      <c r="O101" s="122" t="s">
        <v>2150</v>
      </c>
      <c r="P101" s="329" t="s">
        <v>2265</v>
      </c>
      <c r="Q101" s="122"/>
      <c r="R101" s="122"/>
      <c r="S101" s="122"/>
      <c r="T101" s="122"/>
      <c r="U101" s="122"/>
      <c r="V101" s="122"/>
    </row>
    <row r="102" spans="1:22" x14ac:dyDescent="0.25">
      <c r="A102" s="121" t="str">
        <f t="shared" ca="1" si="3"/>
        <v>Ручной ввод:</v>
      </c>
      <c r="C102" s="122" t="s">
        <v>599</v>
      </c>
      <c r="D102" s="122" t="s">
        <v>602</v>
      </c>
      <c r="E102" s="122" t="s">
        <v>701</v>
      </c>
      <c r="F102" s="122" t="s">
        <v>702</v>
      </c>
      <c r="G102" s="122" t="s">
        <v>703</v>
      </c>
      <c r="H102" s="122" t="s">
        <v>704</v>
      </c>
      <c r="I102" s="122" t="s">
        <v>928</v>
      </c>
      <c r="J102" s="122" t="s">
        <v>1140</v>
      </c>
      <c r="K102" s="122" t="s">
        <v>1269</v>
      </c>
      <c r="L102" s="122" t="s">
        <v>1520</v>
      </c>
      <c r="M102" s="329" t="s">
        <v>1842</v>
      </c>
      <c r="N102" s="122" t="s">
        <v>2001</v>
      </c>
      <c r="O102" s="122" t="s">
        <v>2151</v>
      </c>
      <c r="P102" s="329" t="s">
        <v>2266</v>
      </c>
      <c r="Q102" s="122"/>
      <c r="R102" s="122"/>
      <c r="S102" s="122"/>
      <c r="T102" s="122"/>
      <c r="U102" s="122"/>
      <c r="V102" s="122"/>
    </row>
    <row r="103" spans="1:22" x14ac:dyDescent="0.25">
      <c r="A103" s="121" t="str">
        <f t="shared" ca="1" si="3"/>
        <v>Всего:</v>
      </c>
      <c r="C103" s="122" t="s">
        <v>603</v>
      </c>
      <c r="D103" s="122" t="s">
        <v>604</v>
      </c>
      <c r="E103" s="122" t="s">
        <v>707</v>
      </c>
      <c r="F103" s="122" t="s">
        <v>706</v>
      </c>
      <c r="G103" s="122" t="s">
        <v>604</v>
      </c>
      <c r="H103" s="122" t="s">
        <v>705</v>
      </c>
      <c r="I103" s="122" t="s">
        <v>705</v>
      </c>
      <c r="J103" s="122" t="s">
        <v>1141</v>
      </c>
      <c r="K103" s="122" t="s">
        <v>1270</v>
      </c>
      <c r="L103" s="122" t="s">
        <v>1521</v>
      </c>
      <c r="M103" s="329" t="s">
        <v>1843</v>
      </c>
      <c r="N103" s="122" t="s">
        <v>705</v>
      </c>
      <c r="O103" s="122" t="s">
        <v>2152</v>
      </c>
      <c r="P103" s="329" t="s">
        <v>2267</v>
      </c>
      <c r="Q103" s="122"/>
      <c r="R103" s="122"/>
      <c r="S103" s="122"/>
      <c r="T103" s="122"/>
      <c r="U103" s="122"/>
      <c r="V103" s="122"/>
    </row>
    <row r="104" spans="1:22" s="124" customFormat="1" x14ac:dyDescent="0.25">
      <c r="A104" s="121" t="str">
        <f t="shared" ca="1" si="3"/>
        <v>Рекомендация</v>
      </c>
      <c r="C104" s="122" t="s">
        <v>176</v>
      </c>
      <c r="D104" s="122" t="s">
        <v>195</v>
      </c>
      <c r="E104" s="122" t="s">
        <v>304</v>
      </c>
      <c r="F104" s="122" t="s">
        <v>378</v>
      </c>
      <c r="G104" s="122" t="s">
        <v>377</v>
      </c>
      <c r="H104" s="122" t="s">
        <v>376</v>
      </c>
      <c r="I104" s="122" t="s">
        <v>929</v>
      </c>
      <c r="J104" s="122" t="s">
        <v>1142</v>
      </c>
      <c r="K104" s="122" t="s">
        <v>1271</v>
      </c>
      <c r="L104" s="122" t="s">
        <v>1440</v>
      </c>
      <c r="M104" s="329" t="s">
        <v>1844</v>
      </c>
      <c r="N104" s="122" t="s">
        <v>2002</v>
      </c>
      <c r="O104" s="122" t="s">
        <v>2153</v>
      </c>
      <c r="P104" s="329" t="s">
        <v>2268</v>
      </c>
      <c r="Q104" s="122"/>
      <c r="R104" s="122"/>
      <c r="S104" s="122"/>
      <c r="T104" s="122"/>
      <c r="U104" s="122"/>
      <c r="V104" s="122"/>
    </row>
    <row r="105" spans="1:22" s="124" customFormat="1" x14ac:dyDescent="0.25">
      <c r="A105" s="121" t="str">
        <f t="shared" ca="1" si="3"/>
        <v>← назад</v>
      </c>
      <c r="C105" s="122" t="s">
        <v>576</v>
      </c>
      <c r="D105" s="122" t="s">
        <v>577</v>
      </c>
      <c r="E105" s="122" t="s">
        <v>578</v>
      </c>
      <c r="F105" s="122" t="s">
        <v>579</v>
      </c>
      <c r="G105" s="122" t="s">
        <v>580</v>
      </c>
      <c r="H105" s="122" t="s">
        <v>581</v>
      </c>
      <c r="I105" s="122" t="s">
        <v>930</v>
      </c>
      <c r="J105" s="122" t="s">
        <v>1143</v>
      </c>
      <c r="K105" s="122" t="s">
        <v>1272</v>
      </c>
      <c r="L105" s="122" t="s">
        <v>1441</v>
      </c>
      <c r="M105" s="329" t="s">
        <v>1845</v>
      </c>
      <c r="N105" s="122" t="s">
        <v>2003</v>
      </c>
      <c r="O105" s="122" t="s">
        <v>2154</v>
      </c>
      <c r="P105" s="329" t="s">
        <v>2269</v>
      </c>
      <c r="Q105" s="122"/>
      <c r="R105" s="122"/>
      <c r="S105" s="122"/>
      <c r="T105" s="122"/>
      <c r="U105" s="122"/>
      <c r="V105" s="122"/>
    </row>
    <row r="106" spans="1:22" hidden="1" x14ac:dyDescent="0.25">
      <c r="A106" s="121" t="str">
        <f t="shared" ca="1" si="3"/>
        <v>Korpus</v>
      </c>
      <c r="C106" s="122" t="s">
        <v>12</v>
      </c>
      <c r="D106" s="122" t="s">
        <v>98</v>
      </c>
      <c r="E106" s="122"/>
      <c r="F106" s="122"/>
      <c r="G106" s="122"/>
      <c r="H106" s="122"/>
      <c r="I106" s="122" t="s">
        <v>931</v>
      </c>
      <c r="J106" s="122"/>
      <c r="K106" s="122"/>
      <c r="L106" s="122" t="s">
        <v>12</v>
      </c>
      <c r="M106" s="329"/>
      <c r="N106" s="122"/>
      <c r="O106" s="122"/>
      <c r="P106" s="329"/>
      <c r="Q106" s="122"/>
      <c r="R106" s="122"/>
      <c r="S106" s="122"/>
      <c r="T106" s="122"/>
      <c r="U106" s="122"/>
      <c r="V106" s="122"/>
    </row>
    <row r="107" spans="1:22" x14ac:dyDescent="0.25">
      <c r="A107" s="121" t="str">
        <f t="shared" ca="1" si="3"/>
        <v>Наименование</v>
      </c>
      <c r="C107" s="122" t="s">
        <v>72</v>
      </c>
      <c r="D107" s="122" t="s">
        <v>112</v>
      </c>
      <c r="E107" s="122" t="s">
        <v>72</v>
      </c>
      <c r="F107" s="122" t="s">
        <v>379</v>
      </c>
      <c r="G107" s="122" t="s">
        <v>380</v>
      </c>
      <c r="H107" s="122" t="s">
        <v>381</v>
      </c>
      <c r="I107" s="122" t="s">
        <v>932</v>
      </c>
      <c r="J107" s="122" t="s">
        <v>1144</v>
      </c>
      <c r="K107" s="122" t="s">
        <v>1273</v>
      </c>
      <c r="L107" s="122" t="s">
        <v>1442</v>
      </c>
      <c r="M107" s="329" t="s">
        <v>1846</v>
      </c>
      <c r="N107" s="122" t="s">
        <v>2004</v>
      </c>
      <c r="O107" s="122" t="s">
        <v>2155</v>
      </c>
      <c r="P107" s="329" t="s">
        <v>2270</v>
      </c>
      <c r="Q107" s="122"/>
      <c r="R107" s="122"/>
      <c r="S107" s="122"/>
      <c r="T107" s="122"/>
      <c r="U107" s="122"/>
      <c r="V107" s="122"/>
    </row>
    <row r="108" spans="1:22" x14ac:dyDescent="0.25">
      <c r="A108" s="121" t="str">
        <f t="shared" ca="1" si="3"/>
        <v>Артикул №</v>
      </c>
      <c r="C108" s="122" t="s">
        <v>114</v>
      </c>
      <c r="D108" s="122" t="s">
        <v>115</v>
      </c>
      <c r="E108" s="122" t="s">
        <v>723</v>
      </c>
      <c r="F108" s="122" t="s">
        <v>382</v>
      </c>
      <c r="G108" s="122" t="s">
        <v>383</v>
      </c>
      <c r="H108" s="122" t="s">
        <v>382</v>
      </c>
      <c r="I108" s="122" t="s">
        <v>933</v>
      </c>
      <c r="J108" s="122" t="s">
        <v>1145</v>
      </c>
      <c r="K108" s="122" t="s">
        <v>1274</v>
      </c>
      <c r="L108" s="122" t="s">
        <v>1443</v>
      </c>
      <c r="M108" s="329" t="s">
        <v>1847</v>
      </c>
      <c r="N108" s="122" t="s">
        <v>2005</v>
      </c>
      <c r="O108" s="122" t="s">
        <v>2156</v>
      </c>
      <c r="P108" s="329" t="s">
        <v>2271</v>
      </c>
      <c r="Q108" s="122"/>
      <c r="R108" s="122"/>
      <c r="S108" s="122"/>
      <c r="T108" s="122"/>
      <c r="U108" s="122"/>
      <c r="V108" s="122"/>
    </row>
    <row r="109" spans="1:22" x14ac:dyDescent="0.25">
      <c r="A109" s="121" t="str">
        <f t="shared" ca="1" si="3"/>
        <v>Сторона</v>
      </c>
      <c r="C109" s="122" t="s">
        <v>15</v>
      </c>
      <c r="D109" s="122" t="s">
        <v>116</v>
      </c>
      <c r="E109" s="122" t="s">
        <v>312</v>
      </c>
      <c r="F109" s="122" t="s">
        <v>384</v>
      </c>
      <c r="G109" s="122" t="s">
        <v>385</v>
      </c>
      <c r="H109" s="122" t="s">
        <v>386</v>
      </c>
      <c r="I109" s="122" t="s">
        <v>934</v>
      </c>
      <c r="J109" s="122" t="s">
        <v>1146</v>
      </c>
      <c r="K109" s="122" t="s">
        <v>1275</v>
      </c>
      <c r="L109" s="122" t="s">
        <v>1444</v>
      </c>
      <c r="M109" s="329" t="s">
        <v>1848</v>
      </c>
      <c r="N109" s="122" t="s">
        <v>2006</v>
      </c>
      <c r="O109" s="122" t="s">
        <v>2157</v>
      </c>
      <c r="P109" s="329" t="s">
        <v>2272</v>
      </c>
      <c r="Q109" s="122"/>
      <c r="R109" s="122"/>
      <c r="S109" s="122"/>
      <c r="T109" s="122"/>
      <c r="U109" s="122"/>
      <c r="V109" s="122"/>
    </row>
    <row r="110" spans="1:22" x14ac:dyDescent="0.25">
      <c r="A110" s="121" t="str">
        <f t="shared" ca="1" si="3"/>
        <v>Силовой механизм</v>
      </c>
      <c r="C110" s="122" t="s">
        <v>73</v>
      </c>
      <c r="D110" s="122" t="s">
        <v>113</v>
      </c>
      <c r="E110" s="122" t="s">
        <v>311</v>
      </c>
      <c r="F110" s="122" t="s">
        <v>387</v>
      </c>
      <c r="G110" s="122" t="s">
        <v>388</v>
      </c>
      <c r="H110" s="122" t="s">
        <v>389</v>
      </c>
      <c r="I110" s="122" t="s">
        <v>935</v>
      </c>
      <c r="J110" s="122" t="s">
        <v>1147</v>
      </c>
      <c r="K110" s="122" t="s">
        <v>1276</v>
      </c>
      <c r="L110" s="122" t="s">
        <v>1445</v>
      </c>
      <c r="M110" s="329" t="s">
        <v>1849</v>
      </c>
      <c r="N110" s="122" t="s">
        <v>2007</v>
      </c>
      <c r="O110" s="122" t="s">
        <v>2158</v>
      </c>
      <c r="P110" s="329" t="s">
        <v>2273</v>
      </c>
      <c r="Q110" s="122"/>
      <c r="R110" s="122"/>
      <c r="S110" s="122"/>
      <c r="T110" s="122"/>
      <c r="U110" s="122"/>
      <c r="V110" s="122"/>
    </row>
    <row r="111" spans="1:22" x14ac:dyDescent="0.25">
      <c r="A111" s="121" t="str">
        <f t="shared" ca="1" si="3"/>
        <v>Комплект (Л + П)</v>
      </c>
      <c r="C111" s="122" t="s">
        <v>16</v>
      </c>
      <c r="D111" s="122" t="s">
        <v>16</v>
      </c>
      <c r="E111" s="122" t="s">
        <v>390</v>
      </c>
      <c r="F111" s="122" t="s">
        <v>390</v>
      </c>
      <c r="G111" s="122" t="s">
        <v>390</v>
      </c>
      <c r="H111" s="122" t="s">
        <v>390</v>
      </c>
      <c r="I111" s="122" t="s">
        <v>936</v>
      </c>
      <c r="J111" s="122" t="s">
        <v>1148</v>
      </c>
      <c r="K111" s="122" t="s">
        <v>1277</v>
      </c>
      <c r="L111" s="122" t="s">
        <v>1446</v>
      </c>
      <c r="M111" s="329" t="s">
        <v>1850</v>
      </c>
      <c r="N111" s="122" t="s">
        <v>2008</v>
      </c>
      <c r="O111" s="122" t="s">
        <v>2159</v>
      </c>
      <c r="P111" s="329" t="s">
        <v>2274</v>
      </c>
      <c r="Q111" s="122"/>
      <c r="R111" s="122"/>
      <c r="S111" s="122"/>
      <c r="T111" s="122"/>
      <c r="U111" s="122"/>
      <c r="V111" s="122"/>
    </row>
    <row r="112" spans="1:22" x14ac:dyDescent="0.25">
      <c r="A112" s="121" t="str">
        <f t="shared" ca="1" si="3"/>
        <v>Правый</v>
      </c>
      <c r="C112" s="122" t="s">
        <v>14</v>
      </c>
      <c r="D112" s="122" t="s">
        <v>96</v>
      </c>
      <c r="E112" s="122" t="s">
        <v>305</v>
      </c>
      <c r="F112" s="122" t="s">
        <v>391</v>
      </c>
      <c r="G112" s="122" t="s">
        <v>392</v>
      </c>
      <c r="H112" s="122" t="s">
        <v>393</v>
      </c>
      <c r="I112" s="122" t="s">
        <v>937</v>
      </c>
      <c r="J112" s="122" t="s">
        <v>1149</v>
      </c>
      <c r="K112" s="122" t="s">
        <v>1278</v>
      </c>
      <c r="L112" s="122" t="s">
        <v>1447</v>
      </c>
      <c r="M112" s="329" t="s">
        <v>1851</v>
      </c>
      <c r="N112" s="122" t="s">
        <v>2009</v>
      </c>
      <c r="O112" s="122" t="s">
        <v>2160</v>
      </c>
      <c r="P112" s="329" t="s">
        <v>2275</v>
      </c>
      <c r="Q112" s="122"/>
      <c r="R112" s="122"/>
      <c r="S112" s="122"/>
      <c r="T112" s="122"/>
      <c r="U112" s="122"/>
      <c r="V112" s="122"/>
    </row>
    <row r="113" spans="1:22" x14ac:dyDescent="0.25">
      <c r="A113" s="121" t="str">
        <f t="shared" ca="1" si="3"/>
        <v>Направляющий рычаг, тип 1</v>
      </c>
      <c r="C113" s="122" t="s">
        <v>3</v>
      </c>
      <c r="D113" s="122" t="s">
        <v>317</v>
      </c>
      <c r="E113" s="122" t="s">
        <v>403</v>
      </c>
      <c r="F113" s="122" t="s">
        <v>410</v>
      </c>
      <c r="G113" s="122" t="s">
        <v>417</v>
      </c>
      <c r="H113" s="122" t="s">
        <v>424</v>
      </c>
      <c r="I113" s="122" t="s">
        <v>938</v>
      </c>
      <c r="J113" s="122" t="s">
        <v>1150</v>
      </c>
      <c r="K113" s="122" t="s">
        <v>1279</v>
      </c>
      <c r="L113" s="122" t="s">
        <v>1448</v>
      </c>
      <c r="M113" s="329" t="s">
        <v>1852</v>
      </c>
      <c r="N113" s="122" t="s">
        <v>2010</v>
      </c>
      <c r="O113" s="122" t="s">
        <v>2161</v>
      </c>
      <c r="P113" s="329" t="s">
        <v>2276</v>
      </c>
      <c r="Q113" s="122"/>
      <c r="R113" s="122"/>
      <c r="S113" s="122"/>
      <c r="T113" s="122"/>
      <c r="U113" s="122"/>
      <c r="V113" s="122"/>
    </row>
    <row r="114" spans="1:22" x14ac:dyDescent="0.25">
      <c r="A114" s="121" t="str">
        <f t="shared" ca="1" si="3"/>
        <v>Направляющий рычаг, тип 2</v>
      </c>
      <c r="C114" s="122" t="s">
        <v>5</v>
      </c>
      <c r="D114" s="122" t="s">
        <v>318</v>
      </c>
      <c r="E114" s="122" t="s">
        <v>404</v>
      </c>
      <c r="F114" s="122" t="s">
        <v>411</v>
      </c>
      <c r="G114" s="122" t="s">
        <v>418</v>
      </c>
      <c r="H114" s="122" t="s">
        <v>425</v>
      </c>
      <c r="I114" s="122" t="s">
        <v>939</v>
      </c>
      <c r="J114" s="122" t="s">
        <v>1151</v>
      </c>
      <c r="K114" s="122" t="s">
        <v>1280</v>
      </c>
      <c r="L114" s="122" t="s">
        <v>1449</v>
      </c>
      <c r="M114" s="329" t="s">
        <v>1853</v>
      </c>
      <c r="N114" s="122" t="s">
        <v>2011</v>
      </c>
      <c r="O114" s="122" t="s">
        <v>2162</v>
      </c>
      <c r="P114" s="329" t="s">
        <v>2277</v>
      </c>
      <c r="Q114" s="122"/>
      <c r="R114" s="122"/>
      <c r="S114" s="122"/>
      <c r="T114" s="122"/>
      <c r="U114" s="122"/>
      <c r="V114" s="122"/>
    </row>
    <row r="115" spans="1:22" x14ac:dyDescent="0.25">
      <c r="A115" s="121" t="str">
        <f t="shared" ca="1" si="3"/>
        <v>Направляющий рычаг, тип 3</v>
      </c>
      <c r="C115" s="122" t="s">
        <v>9</v>
      </c>
      <c r="D115" s="122" t="s">
        <v>319</v>
      </c>
      <c r="E115" s="122" t="s">
        <v>405</v>
      </c>
      <c r="F115" s="122" t="s">
        <v>412</v>
      </c>
      <c r="G115" s="122" t="s">
        <v>419</v>
      </c>
      <c r="H115" s="122" t="s">
        <v>426</v>
      </c>
      <c r="I115" s="122" t="s">
        <v>940</v>
      </c>
      <c r="J115" s="122" t="s">
        <v>1152</v>
      </c>
      <c r="K115" s="122" t="s">
        <v>1281</v>
      </c>
      <c r="L115" s="122" t="s">
        <v>1450</v>
      </c>
      <c r="M115" s="329" t="s">
        <v>1854</v>
      </c>
      <c r="N115" s="122" t="s">
        <v>2012</v>
      </c>
      <c r="O115" s="122" t="s">
        <v>2163</v>
      </c>
      <c r="P115" s="329" t="s">
        <v>2278</v>
      </c>
      <c r="Q115" s="122"/>
      <c r="R115" s="122"/>
      <c r="S115" s="122"/>
      <c r="T115" s="122"/>
      <c r="U115" s="122"/>
      <c r="V115" s="122"/>
    </row>
    <row r="116" spans="1:22" x14ac:dyDescent="0.25">
      <c r="A116" s="121" t="str">
        <f t="shared" ca="1" si="3"/>
        <v>Направляющий рычаг, тип 4</v>
      </c>
      <c r="C116" s="122" t="s">
        <v>43</v>
      </c>
      <c r="D116" s="122" t="s">
        <v>320</v>
      </c>
      <c r="E116" s="122" t="s">
        <v>406</v>
      </c>
      <c r="F116" s="122" t="s">
        <v>413</v>
      </c>
      <c r="G116" s="122" t="s">
        <v>420</v>
      </c>
      <c r="H116" s="122" t="s">
        <v>427</v>
      </c>
      <c r="I116" s="122" t="s">
        <v>941</v>
      </c>
      <c r="J116" s="122" t="s">
        <v>1153</v>
      </c>
      <c r="K116" s="122" t="s">
        <v>1282</v>
      </c>
      <c r="L116" s="122" t="s">
        <v>1451</v>
      </c>
      <c r="M116" s="329" t="s">
        <v>1855</v>
      </c>
      <c r="N116" s="122" t="s">
        <v>2013</v>
      </c>
      <c r="O116" s="122" t="s">
        <v>2164</v>
      </c>
      <c r="P116" s="329" t="s">
        <v>2279</v>
      </c>
      <c r="Q116" s="122"/>
      <c r="R116" s="122"/>
      <c r="S116" s="122"/>
      <c r="T116" s="122"/>
      <c r="U116" s="122"/>
      <c r="V116" s="122"/>
    </row>
    <row r="117" spans="1:22" x14ac:dyDescent="0.25">
      <c r="A117" s="121" t="str">
        <f t="shared" ca="1" si="3"/>
        <v>Направляющий рычаг, тип 5</v>
      </c>
      <c r="C117" s="122" t="s">
        <v>44</v>
      </c>
      <c r="D117" s="122" t="s">
        <v>321</v>
      </c>
      <c r="E117" s="122" t="s">
        <v>407</v>
      </c>
      <c r="F117" s="122" t="s">
        <v>414</v>
      </c>
      <c r="G117" s="122" t="s">
        <v>421</v>
      </c>
      <c r="H117" s="122" t="s">
        <v>428</v>
      </c>
      <c r="I117" s="122" t="s">
        <v>942</v>
      </c>
      <c r="J117" s="122" t="s">
        <v>1154</v>
      </c>
      <c r="K117" s="122" t="s">
        <v>1283</v>
      </c>
      <c r="L117" s="122" t="s">
        <v>1452</v>
      </c>
      <c r="M117" s="329" t="s">
        <v>1856</v>
      </c>
      <c r="N117" s="122" t="s">
        <v>2014</v>
      </c>
      <c r="O117" s="122" t="s">
        <v>2165</v>
      </c>
      <c r="P117" s="329" t="s">
        <v>2280</v>
      </c>
      <c r="Q117" s="122"/>
      <c r="R117" s="122"/>
      <c r="S117" s="122"/>
      <c r="T117" s="122"/>
      <c r="U117" s="122"/>
      <c r="V117" s="122"/>
    </row>
    <row r="118" spans="1:22" x14ac:dyDescent="0.25">
      <c r="A118" s="121" t="str">
        <f t="shared" ca="1" si="3"/>
        <v>Направляющий рычаг, тип 6</v>
      </c>
      <c r="C118" s="122" t="s">
        <v>45</v>
      </c>
      <c r="D118" s="122" t="s">
        <v>322</v>
      </c>
      <c r="E118" s="122" t="s">
        <v>408</v>
      </c>
      <c r="F118" s="122" t="s">
        <v>415</v>
      </c>
      <c r="G118" s="122" t="s">
        <v>422</v>
      </c>
      <c r="H118" s="122" t="s">
        <v>429</v>
      </c>
      <c r="I118" s="122" t="s">
        <v>943</v>
      </c>
      <c r="J118" s="122" t="s">
        <v>1155</v>
      </c>
      <c r="K118" s="122" t="s">
        <v>1284</v>
      </c>
      <c r="L118" s="122" t="s">
        <v>1453</v>
      </c>
      <c r="M118" s="329" t="s">
        <v>1857</v>
      </c>
      <c r="N118" s="122" t="s">
        <v>2015</v>
      </c>
      <c r="O118" s="122" t="s">
        <v>2166</v>
      </c>
      <c r="P118" s="329" t="s">
        <v>2281</v>
      </c>
      <c r="Q118" s="122"/>
      <c r="R118" s="122"/>
      <c r="S118" s="122"/>
      <c r="T118" s="122"/>
      <c r="U118" s="122"/>
      <c r="V118" s="122"/>
    </row>
    <row r="119" spans="1:22" x14ac:dyDescent="0.25">
      <c r="A119" s="121" t="str">
        <f t="shared" ca="1" si="3"/>
        <v>Направляющий рычаг, тип 7</v>
      </c>
      <c r="C119" s="122" t="s">
        <v>47</v>
      </c>
      <c r="D119" s="122" t="s">
        <v>323</v>
      </c>
      <c r="E119" s="122" t="s">
        <v>409</v>
      </c>
      <c r="F119" s="122" t="s">
        <v>416</v>
      </c>
      <c r="G119" s="122" t="s">
        <v>423</v>
      </c>
      <c r="H119" s="122" t="s">
        <v>430</v>
      </c>
      <c r="I119" s="122" t="s">
        <v>944</v>
      </c>
      <c r="J119" s="122" t="s">
        <v>1156</v>
      </c>
      <c r="K119" s="122" t="s">
        <v>1285</v>
      </c>
      <c r="L119" s="122" t="s">
        <v>1454</v>
      </c>
      <c r="M119" s="329" t="s">
        <v>1858</v>
      </c>
      <c r="N119" s="122" t="s">
        <v>2016</v>
      </c>
      <c r="O119" s="122" t="s">
        <v>2167</v>
      </c>
      <c r="P119" s="329" t="s">
        <v>2282</v>
      </c>
      <c r="Q119" s="122"/>
      <c r="R119" s="122"/>
      <c r="S119" s="122"/>
      <c r="T119" s="122"/>
      <c r="U119" s="122"/>
      <c r="V119" s="122"/>
    </row>
    <row r="120" spans="1:22" x14ac:dyDescent="0.25">
      <c r="A120" s="121" t="str">
        <f t="shared" ca="1" si="3"/>
        <v>Силовой механизм A</v>
      </c>
      <c r="C120" s="122" t="s">
        <v>2</v>
      </c>
      <c r="D120" s="122" t="s">
        <v>324</v>
      </c>
      <c r="E120" s="122" t="s">
        <v>431</v>
      </c>
      <c r="F120" s="122" t="s">
        <v>436</v>
      </c>
      <c r="G120" s="122" t="s">
        <v>441</v>
      </c>
      <c r="H120" s="122" t="s">
        <v>446</v>
      </c>
      <c r="I120" s="122" t="s">
        <v>945</v>
      </c>
      <c r="J120" s="122" t="s">
        <v>1157</v>
      </c>
      <c r="K120" s="122" t="s">
        <v>1286</v>
      </c>
      <c r="L120" s="122" t="s">
        <v>1455</v>
      </c>
      <c r="M120" s="329" t="s">
        <v>1859</v>
      </c>
      <c r="N120" s="122" t="s">
        <v>2017</v>
      </c>
      <c r="O120" s="122" t="s">
        <v>2168</v>
      </c>
      <c r="P120" s="329" t="s">
        <v>2283</v>
      </c>
      <c r="Q120" s="122"/>
      <c r="R120" s="122"/>
      <c r="S120" s="122"/>
      <c r="T120" s="122"/>
      <c r="U120" s="122"/>
      <c r="V120" s="122"/>
    </row>
    <row r="121" spans="1:22" x14ac:dyDescent="0.25">
      <c r="A121" s="121" t="str">
        <f t="shared" ref="A121:A152" ca="1" si="4">OFFSET(B121,0,$B$2,1,1)</f>
        <v>Силовой механизм B</v>
      </c>
      <c r="C121" s="122" t="s">
        <v>4</v>
      </c>
      <c r="D121" s="122" t="s">
        <v>325</v>
      </c>
      <c r="E121" s="122" t="s">
        <v>432</v>
      </c>
      <c r="F121" s="122" t="s">
        <v>437</v>
      </c>
      <c r="G121" s="122" t="s">
        <v>442</v>
      </c>
      <c r="H121" s="122" t="s">
        <v>447</v>
      </c>
      <c r="I121" s="122" t="s">
        <v>946</v>
      </c>
      <c r="J121" s="122" t="s">
        <v>1158</v>
      </c>
      <c r="K121" s="122" t="s">
        <v>1287</v>
      </c>
      <c r="L121" s="122" t="s">
        <v>1456</v>
      </c>
      <c r="M121" s="329" t="s">
        <v>1860</v>
      </c>
      <c r="N121" s="122" t="s">
        <v>2018</v>
      </c>
      <c r="O121" s="122" t="s">
        <v>2169</v>
      </c>
      <c r="P121" s="329" t="s">
        <v>2284</v>
      </c>
      <c r="Q121" s="122"/>
      <c r="R121" s="122"/>
      <c r="S121" s="122"/>
      <c r="T121" s="122"/>
      <c r="U121" s="122"/>
      <c r="V121" s="122"/>
    </row>
    <row r="122" spans="1:22" x14ac:dyDescent="0.25">
      <c r="A122" s="121" t="str">
        <f t="shared" ca="1" si="4"/>
        <v>Силовой механизм C</v>
      </c>
      <c r="C122" s="122" t="s">
        <v>42</v>
      </c>
      <c r="D122" s="122" t="s">
        <v>326</v>
      </c>
      <c r="E122" s="122" t="s">
        <v>433</v>
      </c>
      <c r="F122" s="122" t="s">
        <v>438</v>
      </c>
      <c r="G122" s="122" t="s">
        <v>443</v>
      </c>
      <c r="H122" s="122" t="s">
        <v>448</v>
      </c>
      <c r="I122" s="122" t="s">
        <v>947</v>
      </c>
      <c r="J122" s="122" t="s">
        <v>1159</v>
      </c>
      <c r="K122" s="122" t="s">
        <v>1288</v>
      </c>
      <c r="L122" s="122" t="s">
        <v>1457</v>
      </c>
      <c r="M122" s="329" t="s">
        <v>1861</v>
      </c>
      <c r="N122" s="122" t="s">
        <v>2019</v>
      </c>
      <c r="O122" s="122" t="s">
        <v>2170</v>
      </c>
      <c r="P122" s="329" t="s">
        <v>2285</v>
      </c>
      <c r="Q122" s="122"/>
      <c r="R122" s="122"/>
      <c r="S122" s="122"/>
      <c r="T122" s="122"/>
      <c r="U122" s="122"/>
      <c r="V122" s="122"/>
    </row>
    <row r="123" spans="1:22" x14ac:dyDescent="0.25">
      <c r="A123" s="121" t="str">
        <f t="shared" ca="1" si="4"/>
        <v>Силовой механизм D</v>
      </c>
      <c r="C123" s="122" t="s">
        <v>46</v>
      </c>
      <c r="D123" s="122" t="s">
        <v>327</v>
      </c>
      <c r="E123" s="122" t="s">
        <v>434</v>
      </c>
      <c r="F123" s="122" t="s">
        <v>439</v>
      </c>
      <c r="G123" s="122" t="s">
        <v>444</v>
      </c>
      <c r="H123" s="122" t="s">
        <v>449</v>
      </c>
      <c r="I123" s="122" t="s">
        <v>948</v>
      </c>
      <c r="J123" s="122" t="s">
        <v>1160</v>
      </c>
      <c r="K123" s="122" t="s">
        <v>1289</v>
      </c>
      <c r="L123" s="122" t="s">
        <v>1458</v>
      </c>
      <c r="M123" s="329" t="s">
        <v>1862</v>
      </c>
      <c r="N123" s="122" t="s">
        <v>2020</v>
      </c>
      <c r="O123" s="122" t="s">
        <v>2171</v>
      </c>
      <c r="P123" s="329" t="s">
        <v>2286</v>
      </c>
      <c r="Q123" s="122"/>
      <c r="R123" s="122"/>
      <c r="S123" s="122"/>
      <c r="T123" s="122"/>
      <c r="U123" s="122"/>
      <c r="V123" s="122"/>
    </row>
    <row r="124" spans="1:22" x14ac:dyDescent="0.25">
      <c r="A124" s="121" t="str">
        <f t="shared" ca="1" si="4"/>
        <v>Силовой механизм E</v>
      </c>
      <c r="C124" s="122" t="s">
        <v>51</v>
      </c>
      <c r="D124" s="122" t="s">
        <v>328</v>
      </c>
      <c r="E124" s="122" t="s">
        <v>435</v>
      </c>
      <c r="F124" s="122" t="s">
        <v>440</v>
      </c>
      <c r="G124" s="122" t="s">
        <v>445</v>
      </c>
      <c r="H124" s="122" t="s">
        <v>450</v>
      </c>
      <c r="I124" s="122" t="s">
        <v>949</v>
      </c>
      <c r="J124" s="122" t="s">
        <v>1161</v>
      </c>
      <c r="K124" s="122" t="s">
        <v>1290</v>
      </c>
      <c r="L124" s="122" t="s">
        <v>1459</v>
      </c>
      <c r="M124" s="329" t="s">
        <v>1863</v>
      </c>
      <c r="N124" s="122" t="s">
        <v>2021</v>
      </c>
      <c r="O124" s="122" t="s">
        <v>2172</v>
      </c>
      <c r="P124" s="329" t="s">
        <v>2287</v>
      </c>
      <c r="Q124" s="122"/>
      <c r="R124" s="122"/>
      <c r="S124" s="122"/>
      <c r="T124" s="122"/>
      <c r="U124" s="122"/>
      <c r="V124" s="122"/>
    </row>
    <row r="125" spans="1:22" x14ac:dyDescent="0.25">
      <c r="A125" s="121" t="str">
        <f t="shared" ca="1" si="4"/>
        <v>Пружина, стандарт</v>
      </c>
      <c r="C125" s="122" t="s">
        <v>17</v>
      </c>
      <c r="D125" s="122" t="s">
        <v>462</v>
      </c>
      <c r="E125" s="122" t="s">
        <v>451</v>
      </c>
      <c r="F125" s="122" t="s">
        <v>452</v>
      </c>
      <c r="G125" s="122" t="s">
        <v>453</v>
      </c>
      <c r="H125" s="122" t="s">
        <v>454</v>
      </c>
      <c r="I125" s="122" t="s">
        <v>950</v>
      </c>
      <c r="J125" s="122" t="s">
        <v>1162</v>
      </c>
      <c r="K125" s="122" t="s">
        <v>1291</v>
      </c>
      <c r="L125" s="122" t="s">
        <v>1460</v>
      </c>
      <c r="M125" s="329" t="s">
        <v>1864</v>
      </c>
      <c r="N125" s="122" t="s">
        <v>2022</v>
      </c>
      <c r="O125" s="122" t="s">
        <v>2173</v>
      </c>
      <c r="P125" s="329" t="s">
        <v>2288</v>
      </c>
      <c r="Q125" s="122"/>
      <c r="R125" s="122"/>
      <c r="S125" s="122"/>
      <c r="T125" s="122"/>
      <c r="U125" s="122"/>
      <c r="V125" s="122"/>
    </row>
    <row r="126" spans="1:22" x14ac:dyDescent="0.25">
      <c r="A126" s="121" t="str">
        <f t="shared" ca="1" si="4"/>
        <v>Пружина, черная</v>
      </c>
      <c r="C126" s="122" t="s">
        <v>22</v>
      </c>
      <c r="D126" s="122" t="s">
        <v>461</v>
      </c>
      <c r="E126" s="122" t="s">
        <v>458</v>
      </c>
      <c r="F126" s="122" t="s">
        <v>457</v>
      </c>
      <c r="G126" s="122" t="s">
        <v>456</v>
      </c>
      <c r="H126" s="122" t="s">
        <v>455</v>
      </c>
      <c r="I126" s="122" t="s">
        <v>951</v>
      </c>
      <c r="J126" s="122" t="s">
        <v>1163</v>
      </c>
      <c r="K126" s="122" t="s">
        <v>1292</v>
      </c>
      <c r="L126" s="122" t="s">
        <v>1461</v>
      </c>
      <c r="M126" s="329" t="s">
        <v>1865</v>
      </c>
      <c r="N126" s="122" t="s">
        <v>2023</v>
      </c>
      <c r="O126" s="122" t="s">
        <v>2174</v>
      </c>
      <c r="P126" s="329" t="s">
        <v>2289</v>
      </c>
      <c r="Q126" s="122"/>
      <c r="R126" s="122"/>
      <c r="S126" s="122"/>
      <c r="T126" s="122"/>
      <c r="U126" s="122"/>
      <c r="V126" s="122"/>
    </row>
    <row r="127" spans="1:22" x14ac:dyDescent="0.25">
      <c r="A127" s="121" t="str">
        <f t="shared" ca="1" si="4"/>
        <v>Пружина, белая</v>
      </c>
      <c r="C127" s="122" t="s">
        <v>34</v>
      </c>
      <c r="D127" s="122" t="s">
        <v>459</v>
      </c>
      <c r="E127" s="122" t="s">
        <v>463</v>
      </c>
      <c r="F127" s="122" t="s">
        <v>465</v>
      </c>
      <c r="G127" s="122" t="s">
        <v>467</v>
      </c>
      <c r="H127" s="122" t="s">
        <v>469</v>
      </c>
      <c r="I127" s="122" t="s">
        <v>952</v>
      </c>
      <c r="J127" s="122" t="s">
        <v>1164</v>
      </c>
      <c r="K127" s="122" t="s">
        <v>1293</v>
      </c>
      <c r="L127" s="122" t="s">
        <v>1462</v>
      </c>
      <c r="M127" s="329" t="s">
        <v>1866</v>
      </c>
      <c r="N127" s="122" t="s">
        <v>2024</v>
      </c>
      <c r="O127" s="122" t="s">
        <v>2175</v>
      </c>
      <c r="P127" s="329" t="s">
        <v>2290</v>
      </c>
      <c r="Q127" s="122"/>
      <c r="R127" s="122"/>
      <c r="S127" s="122"/>
      <c r="T127" s="122"/>
      <c r="U127" s="122"/>
      <c r="V127" s="122"/>
    </row>
    <row r="128" spans="1:22" x14ac:dyDescent="0.25">
      <c r="A128" s="121" t="str">
        <f t="shared" ca="1" si="4"/>
        <v>Пружина, оранжевая</v>
      </c>
      <c r="C128" s="122" t="s">
        <v>53</v>
      </c>
      <c r="D128" s="122" t="s">
        <v>460</v>
      </c>
      <c r="E128" s="122" t="s">
        <v>464</v>
      </c>
      <c r="F128" s="122" t="s">
        <v>466</v>
      </c>
      <c r="G128" s="122" t="s">
        <v>468</v>
      </c>
      <c r="H128" s="122" t="s">
        <v>470</v>
      </c>
      <c r="I128" s="122" t="s">
        <v>953</v>
      </c>
      <c r="J128" s="122" t="s">
        <v>1165</v>
      </c>
      <c r="K128" s="122" t="s">
        <v>1294</v>
      </c>
      <c r="L128" s="122" t="s">
        <v>1463</v>
      </c>
      <c r="M128" s="329" t="s">
        <v>1867</v>
      </c>
      <c r="N128" s="122" t="s">
        <v>2025</v>
      </c>
      <c r="O128" s="122" t="s">
        <v>2176</v>
      </c>
      <c r="P128" s="329" t="s">
        <v>2291</v>
      </c>
      <c r="Q128" s="122"/>
      <c r="R128" s="122"/>
      <c r="S128" s="122"/>
      <c r="T128" s="122"/>
      <c r="U128" s="122"/>
      <c r="V128" s="122"/>
    </row>
    <row r="129" spans="1:22" x14ac:dyDescent="0.25">
      <c r="A129" s="121" t="str">
        <f t="shared" ca="1" si="4"/>
        <v>Пружина, желтая, односторонняя</v>
      </c>
      <c r="C129" s="122" t="s">
        <v>39</v>
      </c>
      <c r="D129" s="122" t="s">
        <v>330</v>
      </c>
      <c r="E129" s="133" t="s">
        <v>471</v>
      </c>
      <c r="F129" s="122" t="s">
        <v>474</v>
      </c>
      <c r="G129" s="122" t="s">
        <v>477</v>
      </c>
      <c r="H129" s="122" t="s">
        <v>480</v>
      </c>
      <c r="I129" s="122" t="s">
        <v>954</v>
      </c>
      <c r="J129" s="122" t="s">
        <v>1166</v>
      </c>
      <c r="K129" s="122" t="s">
        <v>1295</v>
      </c>
      <c r="L129" s="122" t="s">
        <v>1464</v>
      </c>
      <c r="M129" s="329" t="s">
        <v>1868</v>
      </c>
      <c r="N129" s="122" t="s">
        <v>2026</v>
      </c>
      <c r="O129" s="122" t="s">
        <v>2177</v>
      </c>
      <c r="P129" s="329" t="s">
        <v>2292</v>
      </c>
      <c r="Q129" s="122"/>
      <c r="R129" s="122"/>
      <c r="S129" s="122"/>
      <c r="T129" s="122"/>
      <c r="U129" s="122"/>
      <c r="V129" s="122"/>
    </row>
    <row r="130" spans="1:22" x14ac:dyDescent="0.25">
      <c r="A130" s="121" t="str">
        <f t="shared" ca="1" si="4"/>
        <v>Пружина, желтая, двусторонняя</v>
      </c>
      <c r="C130" s="122" t="s">
        <v>54</v>
      </c>
      <c r="D130" s="122" t="s">
        <v>329</v>
      </c>
      <c r="E130" s="122" t="s">
        <v>472</v>
      </c>
      <c r="F130" s="122" t="s">
        <v>475</v>
      </c>
      <c r="G130" s="122" t="s">
        <v>478</v>
      </c>
      <c r="H130" s="122" t="s">
        <v>481</v>
      </c>
      <c r="I130" s="122" t="s">
        <v>955</v>
      </c>
      <c r="J130" s="122" t="s">
        <v>1167</v>
      </c>
      <c r="K130" s="122" t="s">
        <v>1296</v>
      </c>
      <c r="L130" s="122" t="s">
        <v>1465</v>
      </c>
      <c r="M130" s="329" t="s">
        <v>1869</v>
      </c>
      <c r="N130" s="122" t="s">
        <v>2027</v>
      </c>
      <c r="O130" s="122" t="s">
        <v>2178</v>
      </c>
      <c r="P130" s="329" t="s">
        <v>2293</v>
      </c>
      <c r="Q130" s="122"/>
      <c r="R130" s="122"/>
      <c r="S130" s="122"/>
      <c r="T130" s="122"/>
      <c r="U130" s="122"/>
      <c r="V130" s="122"/>
    </row>
    <row r="131" spans="1:22" x14ac:dyDescent="0.25">
      <c r="A131" s="121" t="str">
        <f t="shared" ca="1" si="4"/>
        <v>Пружина, черная, двусторонняя</v>
      </c>
      <c r="C131" s="122" t="s">
        <v>55</v>
      </c>
      <c r="D131" s="122" t="s">
        <v>331</v>
      </c>
      <c r="E131" s="122" t="s">
        <v>473</v>
      </c>
      <c r="F131" s="122" t="s">
        <v>476</v>
      </c>
      <c r="G131" s="122" t="s">
        <v>479</v>
      </c>
      <c r="H131" s="122" t="s">
        <v>482</v>
      </c>
      <c r="I131" s="122" t="s">
        <v>956</v>
      </c>
      <c r="J131" s="122" t="s">
        <v>1168</v>
      </c>
      <c r="K131" s="122" t="s">
        <v>1297</v>
      </c>
      <c r="L131" s="122" t="s">
        <v>1466</v>
      </c>
      <c r="M131" s="329" t="s">
        <v>1870</v>
      </c>
      <c r="N131" s="122" t="s">
        <v>2028</v>
      </c>
      <c r="O131" s="122" t="s">
        <v>2179</v>
      </c>
      <c r="P131" s="329" t="s">
        <v>2294</v>
      </c>
      <c r="Q131" s="122"/>
      <c r="R131" s="122"/>
      <c r="S131" s="122"/>
      <c r="T131" s="122"/>
      <c r="U131" s="122"/>
      <c r="V131" s="122"/>
    </row>
    <row r="132" spans="1:22" x14ac:dyDescent="0.25">
      <c r="A132" s="121" t="str">
        <f t="shared" ca="1" si="4"/>
        <v>регулируется</v>
      </c>
      <c r="C132" s="122" t="s">
        <v>28</v>
      </c>
      <c r="D132" s="122" t="s">
        <v>95</v>
      </c>
      <c r="E132" s="122" t="s">
        <v>522</v>
      </c>
      <c r="F132" s="122" t="s">
        <v>521</v>
      </c>
      <c r="G132" s="122" t="s">
        <v>520</v>
      </c>
      <c r="H132" s="122" t="s">
        <v>519</v>
      </c>
      <c r="I132" s="122" t="s">
        <v>957</v>
      </c>
      <c r="J132" s="122" t="s">
        <v>1169</v>
      </c>
      <c r="K132" s="122" t="s">
        <v>1298</v>
      </c>
      <c r="L132" s="122" t="s">
        <v>1467</v>
      </c>
      <c r="M132" s="329" t="s">
        <v>1871</v>
      </c>
      <c r="N132" s="122" t="s">
        <v>2029</v>
      </c>
      <c r="O132" s="122" t="s">
        <v>2180</v>
      </c>
      <c r="P132" s="329" t="s">
        <v>2295</v>
      </c>
      <c r="Q132" s="122"/>
      <c r="R132" s="122"/>
      <c r="S132" s="122"/>
      <c r="T132" s="122"/>
      <c r="U132" s="122"/>
      <c r="V132" s="122"/>
    </row>
    <row r="133" spans="1:22" x14ac:dyDescent="0.25">
      <c r="A133" s="121" t="str">
        <f t="shared" ca="1" si="4"/>
        <v>1 коленчатый подъемник</v>
      </c>
      <c r="C133" s="122" t="s">
        <v>19</v>
      </c>
      <c r="D133" s="122" t="s">
        <v>483</v>
      </c>
      <c r="E133" s="122" t="s">
        <v>485</v>
      </c>
      <c r="F133" s="122" t="s">
        <v>487</v>
      </c>
      <c r="G133" s="122" t="s">
        <v>489</v>
      </c>
      <c r="H133" s="122" t="s">
        <v>491</v>
      </c>
      <c r="I133" s="122" t="s">
        <v>958</v>
      </c>
      <c r="J133" s="122" t="s">
        <v>1170</v>
      </c>
      <c r="K133" s="122" t="s">
        <v>1299</v>
      </c>
      <c r="L133" s="122" t="s">
        <v>1468</v>
      </c>
      <c r="M133" s="329" t="s">
        <v>1872</v>
      </c>
      <c r="N133" s="122" t="s">
        <v>2030</v>
      </c>
      <c r="O133" s="122" t="s">
        <v>2181</v>
      </c>
      <c r="P133" s="329" t="s">
        <v>2296</v>
      </c>
      <c r="Q133" s="122"/>
      <c r="R133" s="122"/>
      <c r="S133" s="122"/>
      <c r="T133" s="122"/>
      <c r="U133" s="122"/>
      <c r="V133" s="122"/>
    </row>
    <row r="134" spans="1:22" x14ac:dyDescent="0.25">
      <c r="A134" s="121" t="str">
        <f t="shared" ca="1" si="4"/>
        <v>2 коленчатых подъемника</v>
      </c>
      <c r="C134" s="122" t="s">
        <v>26</v>
      </c>
      <c r="D134" s="122" t="s">
        <v>484</v>
      </c>
      <c r="E134" s="122" t="s">
        <v>486</v>
      </c>
      <c r="F134" s="122" t="s">
        <v>488</v>
      </c>
      <c r="G134" s="122" t="s">
        <v>490</v>
      </c>
      <c r="H134" s="122" t="s">
        <v>492</v>
      </c>
      <c r="I134" s="122" t="s">
        <v>959</v>
      </c>
      <c r="J134" s="122" t="s">
        <v>1171</v>
      </c>
      <c r="K134" s="122" t="s">
        <v>1300</v>
      </c>
      <c r="L134" s="122" t="s">
        <v>1469</v>
      </c>
      <c r="M134" s="329" t="s">
        <v>1873</v>
      </c>
      <c r="N134" s="122" t="s">
        <v>2031</v>
      </c>
      <c r="O134" s="122" t="s">
        <v>2181</v>
      </c>
      <c r="P134" s="329" t="s">
        <v>2297</v>
      </c>
      <c r="Q134" s="122"/>
      <c r="R134" s="122"/>
      <c r="S134" s="122"/>
      <c r="T134" s="122"/>
      <c r="U134" s="122"/>
      <c r="V134" s="122"/>
    </row>
    <row r="135" spans="1:22" hidden="1" x14ac:dyDescent="0.25">
      <c r="A135" s="121" t="str">
        <f t="shared" ca="1" si="4"/>
        <v>ja</v>
      </c>
      <c r="C135" s="122" t="s">
        <v>37</v>
      </c>
      <c r="D135" s="122" t="s">
        <v>93</v>
      </c>
      <c r="E135" s="122" t="s">
        <v>306</v>
      </c>
      <c r="F135" s="122"/>
      <c r="G135" s="122"/>
      <c r="H135" s="122"/>
      <c r="I135" s="122" t="s">
        <v>960</v>
      </c>
      <c r="J135" s="122"/>
      <c r="K135" s="122"/>
      <c r="L135" s="122" t="s">
        <v>37</v>
      </c>
      <c r="M135" s="329"/>
      <c r="N135" s="122"/>
      <c r="O135" s="122"/>
      <c r="P135" s="329"/>
      <c r="Q135" s="122"/>
      <c r="R135" s="122"/>
      <c r="S135" s="122"/>
      <c r="T135" s="122"/>
      <c r="U135" s="122"/>
      <c r="V135" s="122"/>
    </row>
    <row r="136" spans="1:22" hidden="1" x14ac:dyDescent="0.25">
      <c r="A136" s="121" t="str">
        <f t="shared" ca="1" si="4"/>
        <v>nein</v>
      </c>
      <c r="C136" s="122" t="s">
        <v>109</v>
      </c>
      <c r="D136" s="122" t="s">
        <v>108</v>
      </c>
      <c r="E136" s="122" t="s">
        <v>307</v>
      </c>
      <c r="F136" s="122"/>
      <c r="G136" s="122"/>
      <c r="H136" s="122"/>
      <c r="I136" s="122" t="s">
        <v>961</v>
      </c>
      <c r="J136" s="122"/>
      <c r="K136" s="122"/>
      <c r="L136" s="122" t="s">
        <v>109</v>
      </c>
      <c r="M136" s="329"/>
      <c r="N136" s="122"/>
      <c r="O136" s="122"/>
      <c r="P136" s="329"/>
      <c r="Q136" s="122"/>
      <c r="R136" s="122"/>
      <c r="S136" s="122"/>
      <c r="T136" s="122"/>
      <c r="U136" s="122"/>
      <c r="V136" s="122"/>
    </row>
    <row r="137" spans="1:22" hidden="1" x14ac:dyDescent="0.25">
      <c r="A137" s="121" t="str">
        <f t="shared" ca="1" si="4"/>
        <v>Zubehör</v>
      </c>
      <c r="C137" s="122" t="s">
        <v>8</v>
      </c>
      <c r="D137" s="122" t="s">
        <v>107</v>
      </c>
      <c r="E137" s="122" t="s">
        <v>308</v>
      </c>
      <c r="F137" s="122"/>
      <c r="G137" s="122"/>
      <c r="H137" s="122"/>
      <c r="I137" s="122" t="s">
        <v>962</v>
      </c>
      <c r="J137" s="122"/>
      <c r="K137" s="122"/>
      <c r="L137" s="122" t="s">
        <v>8</v>
      </c>
      <c r="M137" s="329"/>
      <c r="N137" s="122"/>
      <c r="O137" s="122"/>
      <c r="P137" s="329"/>
      <c r="Q137" s="122"/>
      <c r="R137" s="122"/>
      <c r="S137" s="122"/>
      <c r="T137" s="122"/>
      <c r="U137" s="122"/>
      <c r="V137" s="122"/>
    </row>
    <row r="138" spans="1:22" hidden="1" x14ac:dyDescent="0.25">
      <c r="A138" s="121" t="str">
        <f t="shared" ca="1" si="4"/>
        <v>Montage werkzeuglos</v>
      </c>
      <c r="C138" s="122" t="s">
        <v>104</v>
      </c>
      <c r="D138" s="122" t="s">
        <v>105</v>
      </c>
      <c r="E138" s="122" t="s">
        <v>309</v>
      </c>
      <c r="F138" s="122"/>
      <c r="G138" s="122"/>
      <c r="H138" s="122"/>
      <c r="I138" s="122" t="s">
        <v>963</v>
      </c>
      <c r="J138" s="122"/>
      <c r="K138" s="122"/>
      <c r="L138" s="122" t="s">
        <v>104</v>
      </c>
      <c r="M138" s="329"/>
      <c r="N138" s="122"/>
      <c r="O138" s="122"/>
      <c r="P138" s="329"/>
      <c r="Q138" s="122"/>
      <c r="R138" s="122"/>
      <c r="S138" s="122"/>
      <c r="T138" s="122"/>
      <c r="U138" s="122"/>
      <c r="V138" s="122"/>
    </row>
    <row r="139" spans="1:22" hidden="1" x14ac:dyDescent="0.25">
      <c r="A139" s="121" t="str">
        <f t="shared" ca="1" si="4"/>
        <v>Auflage*</v>
      </c>
      <c r="C139" s="122" t="s">
        <v>332</v>
      </c>
      <c r="D139" s="122" t="s">
        <v>111</v>
      </c>
      <c r="E139" s="122" t="s">
        <v>310</v>
      </c>
      <c r="F139" s="122"/>
      <c r="G139" s="122"/>
      <c r="H139" s="122"/>
      <c r="I139" s="122" t="s">
        <v>964</v>
      </c>
      <c r="J139" s="122"/>
      <c r="K139" s="122"/>
      <c r="L139" s="122" t="s">
        <v>332</v>
      </c>
      <c r="M139" s="329"/>
      <c r="N139" s="122"/>
      <c r="O139" s="122"/>
      <c r="P139" s="329"/>
      <c r="Q139" s="122"/>
      <c r="R139" s="122"/>
      <c r="S139" s="122"/>
      <c r="T139" s="122"/>
      <c r="U139" s="122"/>
      <c r="V139" s="122"/>
    </row>
    <row r="140" spans="1:22" hidden="1" x14ac:dyDescent="0.25">
      <c r="A140" s="121" t="str">
        <f t="shared" ca="1" si="4"/>
        <v>*Clipmontage, 3D Einstellung*</v>
      </c>
      <c r="C140" s="122" t="s">
        <v>493</v>
      </c>
      <c r="D140" s="122" t="s">
        <v>92</v>
      </c>
      <c r="E140" s="122" t="s">
        <v>313</v>
      </c>
      <c r="F140" s="122"/>
      <c r="G140" s="122"/>
      <c r="H140" s="122"/>
      <c r="I140" s="122" t="s">
        <v>965</v>
      </c>
      <c r="J140" s="122"/>
      <c r="K140" s="122"/>
      <c r="L140" s="122" t="s">
        <v>493</v>
      </c>
      <c r="M140" s="329"/>
      <c r="N140" s="122"/>
      <c r="O140" s="122"/>
      <c r="P140" s="329"/>
      <c r="Q140" s="122"/>
      <c r="R140" s="122"/>
      <c r="S140" s="122"/>
      <c r="T140" s="122"/>
      <c r="U140" s="122"/>
      <c r="V140" s="122"/>
    </row>
    <row r="141" spans="1:22" hidden="1" x14ac:dyDescent="0.25">
      <c r="A141" s="121" t="str">
        <f t="shared" ca="1" si="4"/>
        <v>Alu</v>
      </c>
      <c r="C141" s="122" t="s">
        <v>24</v>
      </c>
      <c r="D141" s="122" t="s">
        <v>91</v>
      </c>
      <c r="E141" s="122"/>
      <c r="F141" s="122"/>
      <c r="G141" s="122"/>
      <c r="H141" s="122"/>
      <c r="I141" s="122" t="s">
        <v>966</v>
      </c>
      <c r="J141" s="122"/>
      <c r="K141" s="122"/>
      <c r="L141" s="122" t="s">
        <v>24</v>
      </c>
      <c r="M141" s="329"/>
      <c r="N141" s="122"/>
      <c r="O141" s="122"/>
      <c r="P141" s="329"/>
      <c r="Q141" s="122"/>
      <c r="R141" s="122"/>
      <c r="S141" s="122"/>
      <c r="T141" s="122"/>
      <c r="U141" s="122"/>
      <c r="V141" s="122"/>
    </row>
    <row r="142" spans="1:22" s="120" customFormat="1" hidden="1" x14ac:dyDescent="0.25">
      <c r="A142" s="120" t="str">
        <f t="shared" ca="1" si="4"/>
        <v>Alu (Rahmen 19mm)</v>
      </c>
      <c r="C142" s="116" t="s">
        <v>31</v>
      </c>
      <c r="D142" s="116" t="s">
        <v>90</v>
      </c>
      <c r="E142" s="116"/>
      <c r="F142" s="116"/>
      <c r="G142" s="116"/>
      <c r="H142" s="116"/>
      <c r="I142" s="122" t="s">
        <v>967</v>
      </c>
      <c r="J142" s="116"/>
      <c r="K142" s="116"/>
      <c r="L142" s="116" t="s">
        <v>31</v>
      </c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</row>
    <row r="143" spans="1:22" x14ac:dyDescent="0.25">
      <c r="A143" s="121" t="str">
        <f t="shared" ca="1" si="4"/>
        <v>Адаптер под алюминиевые рамки к комплекту Kinvaro L-80</v>
      </c>
      <c r="C143" s="122" t="s">
        <v>41</v>
      </c>
      <c r="D143" s="122" t="s">
        <v>89</v>
      </c>
      <c r="E143" s="122" t="s">
        <v>510</v>
      </c>
      <c r="F143" s="122" t="s">
        <v>505</v>
      </c>
      <c r="G143" s="122" t="s">
        <v>500</v>
      </c>
      <c r="H143" s="122" t="s">
        <v>497</v>
      </c>
      <c r="I143" s="122" t="s">
        <v>968</v>
      </c>
      <c r="J143" s="122" t="s">
        <v>1172</v>
      </c>
      <c r="K143" s="122" t="s">
        <v>1301</v>
      </c>
      <c r="L143" s="122" t="s">
        <v>1470</v>
      </c>
      <c r="M143" s="329" t="s">
        <v>1874</v>
      </c>
      <c r="N143" s="122" t="s">
        <v>2032</v>
      </c>
      <c r="O143" s="122" t="s">
        <v>2182</v>
      </c>
      <c r="P143" s="329" t="s">
        <v>2298</v>
      </c>
      <c r="Q143" s="122"/>
      <c r="R143" s="122"/>
      <c r="S143" s="122"/>
      <c r="T143" s="122"/>
      <c r="U143" s="122"/>
      <c r="V143" s="122"/>
    </row>
    <row r="144" spans="1:22" x14ac:dyDescent="0.25">
      <c r="A144" s="121" t="str">
        <f t="shared" ca="1" si="4"/>
        <v>Адаптер под алюминиевые рамки к комплекту Kinvaro F-20</v>
      </c>
      <c r="C144" s="122" t="s">
        <v>7</v>
      </c>
      <c r="D144" s="122" t="s">
        <v>88</v>
      </c>
      <c r="E144" s="122" t="s">
        <v>511</v>
      </c>
      <c r="F144" s="122" t="s">
        <v>506</v>
      </c>
      <c r="G144" s="122" t="s">
        <v>501</v>
      </c>
      <c r="H144" s="122" t="s">
        <v>496</v>
      </c>
      <c r="I144" s="122" t="s">
        <v>969</v>
      </c>
      <c r="J144" s="122" t="s">
        <v>1173</v>
      </c>
      <c r="K144" s="122" t="s">
        <v>1302</v>
      </c>
      <c r="L144" s="122" t="s">
        <v>1471</v>
      </c>
      <c r="M144" s="329" t="s">
        <v>1875</v>
      </c>
      <c r="N144" s="122" t="s">
        <v>2033</v>
      </c>
      <c r="O144" s="122" t="s">
        <v>2183</v>
      </c>
      <c r="P144" s="329" t="s">
        <v>2299</v>
      </c>
      <c r="Q144" s="122"/>
      <c r="R144" s="122"/>
      <c r="S144" s="122"/>
      <c r="T144" s="122"/>
      <c r="U144" s="122"/>
      <c r="V144" s="122"/>
    </row>
    <row r="145" spans="1:22" x14ac:dyDescent="0.25">
      <c r="A145" s="121" t="str">
        <f t="shared" ca="1" si="4"/>
        <v>Адаптер под алюминиевые рамки к комплекту Kinvaro T-76</v>
      </c>
      <c r="C145" s="122" t="s">
        <v>30</v>
      </c>
      <c r="D145" s="122" t="s">
        <v>87</v>
      </c>
      <c r="E145" s="122" t="s">
        <v>512</v>
      </c>
      <c r="F145" s="122" t="s">
        <v>507</v>
      </c>
      <c r="G145" s="122" t="s">
        <v>502</v>
      </c>
      <c r="H145" s="122" t="s">
        <v>495</v>
      </c>
      <c r="I145" s="122" t="s">
        <v>970</v>
      </c>
      <c r="J145" s="122" t="s">
        <v>1174</v>
      </c>
      <c r="K145" s="122" t="s">
        <v>1303</v>
      </c>
      <c r="L145" s="122" t="s">
        <v>1472</v>
      </c>
      <c r="M145" s="329" t="s">
        <v>1876</v>
      </c>
      <c r="N145" s="122" t="s">
        <v>2034</v>
      </c>
      <c r="O145" s="122" t="s">
        <v>2184</v>
      </c>
      <c r="P145" s="329" t="s">
        <v>2300</v>
      </c>
      <c r="Q145" s="122"/>
      <c r="R145" s="122"/>
      <c r="S145" s="122"/>
      <c r="T145" s="122"/>
      <c r="U145" s="122"/>
      <c r="V145" s="122"/>
    </row>
    <row r="146" spans="1:22" x14ac:dyDescent="0.25">
      <c r="A146" s="121" t="str">
        <f t="shared" ca="1" si="4"/>
        <v>Адаптер под алюминиевые рамки к комплекту Kinvaro T-71</v>
      </c>
      <c r="C146" s="122" t="s">
        <v>52</v>
      </c>
      <c r="D146" s="122" t="s">
        <v>86</v>
      </c>
      <c r="E146" s="122" t="s">
        <v>509</v>
      </c>
      <c r="F146" s="122" t="s">
        <v>504</v>
      </c>
      <c r="G146" s="122" t="s">
        <v>499</v>
      </c>
      <c r="H146" s="122" t="s">
        <v>494</v>
      </c>
      <c r="I146" s="122" t="s">
        <v>971</v>
      </c>
      <c r="J146" s="122" t="s">
        <v>1175</v>
      </c>
      <c r="K146" s="122" t="s">
        <v>1304</v>
      </c>
      <c r="L146" s="122" t="s">
        <v>1473</v>
      </c>
      <c r="M146" s="329" t="s">
        <v>1877</v>
      </c>
      <c r="N146" s="122" t="s">
        <v>2035</v>
      </c>
      <c r="O146" s="122" t="s">
        <v>2185</v>
      </c>
      <c r="P146" s="329" t="s">
        <v>2301</v>
      </c>
      <c r="Q146" s="122"/>
      <c r="R146" s="122"/>
      <c r="S146" s="122"/>
      <c r="T146" s="122"/>
      <c r="U146" s="122"/>
      <c r="V146" s="122"/>
    </row>
    <row r="147" spans="1:22" x14ac:dyDescent="0.25">
      <c r="A147" s="121" t="str">
        <f t="shared" ca="1" si="4"/>
        <v>Адаптер под алюминиевые рамки к комплекту Kinvaro S-35</v>
      </c>
      <c r="C147" s="122" t="s">
        <v>56</v>
      </c>
      <c r="D147" s="122" t="s">
        <v>85</v>
      </c>
      <c r="E147" s="122" t="s">
        <v>513</v>
      </c>
      <c r="F147" s="122" t="s">
        <v>508</v>
      </c>
      <c r="G147" s="122" t="s">
        <v>503</v>
      </c>
      <c r="H147" s="122" t="s">
        <v>498</v>
      </c>
      <c r="I147" s="122" t="s">
        <v>972</v>
      </c>
      <c r="J147" s="122" t="s">
        <v>1176</v>
      </c>
      <c r="K147" s="122" t="s">
        <v>1305</v>
      </c>
      <c r="L147" s="122" t="s">
        <v>1474</v>
      </c>
      <c r="M147" s="329" t="s">
        <v>1878</v>
      </c>
      <c r="N147" s="122" t="s">
        <v>2036</v>
      </c>
      <c r="O147" s="122" t="s">
        <v>2186</v>
      </c>
      <c r="P147" s="329" t="s">
        <v>2302</v>
      </c>
      <c r="Q147" s="122"/>
      <c r="R147" s="122"/>
      <c r="S147" s="122"/>
      <c r="T147" s="122"/>
      <c r="U147" s="122"/>
      <c r="V147" s="122"/>
    </row>
    <row r="148" spans="1:22" s="123" customFormat="1" ht="15.75" thickBot="1" x14ac:dyDescent="0.3">
      <c r="A148" s="123" t="str">
        <f t="shared" ca="1" si="4"/>
        <v>Коленчатый подъемник Kinvaro T-105, правый</v>
      </c>
      <c r="C148" s="122" t="s">
        <v>23</v>
      </c>
      <c r="D148" s="122" t="s">
        <v>514</v>
      </c>
      <c r="E148" s="122" t="s">
        <v>515</v>
      </c>
      <c r="F148" s="122" t="s">
        <v>516</v>
      </c>
      <c r="G148" s="122" t="s">
        <v>517</v>
      </c>
      <c r="H148" s="122" t="s">
        <v>518</v>
      </c>
      <c r="I148" s="122" t="s">
        <v>973</v>
      </c>
      <c r="J148" s="122" t="s">
        <v>1177</v>
      </c>
      <c r="K148" s="122" t="s">
        <v>1306</v>
      </c>
      <c r="L148" s="122" t="s">
        <v>1475</v>
      </c>
      <c r="M148" s="329" t="s">
        <v>1879</v>
      </c>
      <c r="N148" s="122" t="s">
        <v>2037</v>
      </c>
      <c r="O148" s="122" t="s">
        <v>2187</v>
      </c>
      <c r="P148" s="329" t="s">
        <v>2303</v>
      </c>
      <c r="Q148" s="122"/>
      <c r="R148" s="122"/>
      <c r="S148" s="122"/>
      <c r="T148" s="122"/>
      <c r="U148" s="122"/>
      <c r="V148" s="122"/>
    </row>
    <row r="149" spans="1:22" x14ac:dyDescent="0.25">
      <c r="A149" s="121" t="str">
        <f t="shared" ca="1" si="4"/>
        <v>Монтажная плита</v>
      </c>
      <c r="C149" s="122" t="s">
        <v>680</v>
      </c>
      <c r="D149" s="122" t="s">
        <v>690</v>
      </c>
      <c r="E149" s="324" t="s">
        <v>722</v>
      </c>
      <c r="F149" s="325" t="s">
        <v>1753</v>
      </c>
      <c r="G149" s="326" t="s">
        <v>687</v>
      </c>
      <c r="H149" s="122" t="s">
        <v>1077</v>
      </c>
      <c r="I149" s="122" t="s">
        <v>1008</v>
      </c>
      <c r="J149" s="122"/>
      <c r="K149" s="323" t="s">
        <v>1267</v>
      </c>
      <c r="L149" s="122" t="s">
        <v>1508</v>
      </c>
      <c r="M149" s="329" t="s">
        <v>1840</v>
      </c>
      <c r="N149" s="122" t="s">
        <v>1999</v>
      </c>
      <c r="O149" s="122" t="s">
        <v>2149</v>
      </c>
      <c r="P149" s="329" t="s">
        <v>2304</v>
      </c>
      <c r="Q149" s="122"/>
      <c r="R149" s="122"/>
      <c r="S149" s="122"/>
      <c r="T149" s="122"/>
      <c r="U149" s="122"/>
      <c r="V149" s="122"/>
    </row>
    <row r="150" spans="1:22" x14ac:dyDescent="0.25">
      <c r="A150" s="121" t="str">
        <f t="shared" ca="1" si="4"/>
        <v>Шарнир для алюминиевой рамки</v>
      </c>
      <c r="C150" s="122" t="s">
        <v>754</v>
      </c>
      <c r="D150" s="152" t="s">
        <v>1930</v>
      </c>
      <c r="E150" s="324" t="s">
        <v>755</v>
      </c>
      <c r="F150" s="325" t="s">
        <v>1754</v>
      </c>
      <c r="G150" s="326" t="s">
        <v>1759</v>
      </c>
      <c r="H150" s="122" t="s">
        <v>1078</v>
      </c>
      <c r="I150" s="122" t="s">
        <v>1009</v>
      </c>
      <c r="J150" s="122"/>
      <c r="K150" s="323" t="s">
        <v>1744</v>
      </c>
      <c r="L150" s="122" t="s">
        <v>1509</v>
      </c>
      <c r="M150" s="329" t="s">
        <v>1930</v>
      </c>
      <c r="N150" s="122" t="s">
        <v>2038</v>
      </c>
      <c r="O150" s="122" t="s">
        <v>2199</v>
      </c>
      <c r="P150" s="329" t="s">
        <v>2305</v>
      </c>
      <c r="Q150" s="122"/>
      <c r="R150" s="122"/>
      <c r="S150" s="122"/>
      <c r="T150" s="122"/>
      <c r="U150" s="122"/>
      <c r="V150" s="122"/>
    </row>
    <row r="151" spans="1:22" x14ac:dyDescent="0.25">
      <c r="A151" s="121" t="str">
        <f t="shared" ca="1" si="4"/>
        <v>Возможна промышленная упаковка</v>
      </c>
      <c r="C151" s="299" t="s">
        <v>823</v>
      </c>
      <c r="D151" s="299" t="s">
        <v>826</v>
      </c>
      <c r="E151" s="324" t="s">
        <v>1749</v>
      </c>
      <c r="F151" s="325" t="s">
        <v>1755</v>
      </c>
      <c r="G151" s="326" t="s">
        <v>1936</v>
      </c>
      <c r="H151" s="122" t="s">
        <v>1079</v>
      </c>
      <c r="I151" s="122" t="s">
        <v>1010</v>
      </c>
      <c r="J151" s="122"/>
      <c r="K151" s="323" t="s">
        <v>1745</v>
      </c>
      <c r="L151" s="122" t="s">
        <v>1510</v>
      </c>
      <c r="M151" s="329" t="s">
        <v>826</v>
      </c>
      <c r="N151" s="122" t="s">
        <v>2039</v>
      </c>
      <c r="O151" s="122" t="s">
        <v>2188</v>
      </c>
      <c r="P151" s="329" t="s">
        <v>2306</v>
      </c>
      <c r="Q151" s="122"/>
      <c r="R151" s="122"/>
      <c r="S151" s="122"/>
      <c r="T151" s="122"/>
      <c r="U151" s="122"/>
      <c r="V151" s="122"/>
    </row>
    <row r="152" spans="1:22" x14ac:dyDescent="0.25">
      <c r="A152" s="124" t="str">
        <f t="shared" ca="1" si="4"/>
        <v>За глуш ки</v>
      </c>
      <c r="B152" s="124"/>
      <c r="C152" s="122" t="s">
        <v>1617</v>
      </c>
      <c r="D152" s="122" t="s">
        <v>1618</v>
      </c>
      <c r="E152" s="324" t="s">
        <v>1750</v>
      </c>
      <c r="F152" s="325" t="s">
        <v>1756</v>
      </c>
      <c r="G152" s="326" t="s">
        <v>1760</v>
      </c>
      <c r="H152" s="327" t="s">
        <v>1763</v>
      </c>
      <c r="I152" s="152"/>
      <c r="J152" s="328" t="s">
        <v>2085</v>
      </c>
      <c r="K152" s="323" t="s">
        <v>1746</v>
      </c>
      <c r="L152" s="330" t="s">
        <v>1767</v>
      </c>
      <c r="M152" s="330" t="s">
        <v>1618</v>
      </c>
      <c r="N152" s="152" t="s">
        <v>2040</v>
      </c>
      <c r="O152" s="152" t="s">
        <v>2189</v>
      </c>
      <c r="P152" s="152" t="s">
        <v>2307</v>
      </c>
      <c r="Q152" s="152"/>
      <c r="R152" s="152"/>
      <c r="S152" s="152"/>
      <c r="T152" s="152"/>
      <c r="U152" s="152"/>
      <c r="V152" s="152"/>
    </row>
    <row r="153" spans="1:22" x14ac:dyDescent="0.25">
      <c r="A153" s="124" t="str">
        <f t="shared" ref="A153:A177" ca="1" si="5">OFFSET(B153,0,$B$2,1,1)</f>
        <v>бе́лый</v>
      </c>
      <c r="B153" s="124"/>
      <c r="C153" s="122" t="s">
        <v>1615</v>
      </c>
      <c r="D153" s="122" t="s">
        <v>1619</v>
      </c>
      <c r="E153" s="324" t="s">
        <v>1751</v>
      </c>
      <c r="F153" s="325" t="s">
        <v>1758</v>
      </c>
      <c r="G153" s="326" t="s">
        <v>1761</v>
      </c>
      <c r="H153" s="327" t="s">
        <v>1764</v>
      </c>
      <c r="I153" s="152"/>
      <c r="J153" s="328" t="s">
        <v>1765</v>
      </c>
      <c r="K153" s="323" t="s">
        <v>1747</v>
      </c>
      <c r="L153" s="330" t="s">
        <v>1768</v>
      </c>
      <c r="M153" s="330" t="s">
        <v>1929</v>
      </c>
      <c r="N153" s="152" t="s">
        <v>2041</v>
      </c>
      <c r="O153" s="152" t="s">
        <v>2190</v>
      </c>
      <c r="P153" s="152" t="s">
        <v>2308</v>
      </c>
      <c r="Q153" s="152"/>
      <c r="R153" s="152"/>
      <c r="S153" s="152"/>
      <c r="T153" s="152"/>
      <c r="U153" s="152"/>
      <c r="V153" s="152"/>
    </row>
    <row r="154" spans="1:22" x14ac:dyDescent="0.25">
      <c r="A154" s="124" t="str">
        <f t="shared" ca="1" si="5"/>
        <v>се́рый</v>
      </c>
      <c r="B154" s="124"/>
      <c r="C154" s="122" t="s">
        <v>1616</v>
      </c>
      <c r="D154" s="122" t="s">
        <v>1620</v>
      </c>
      <c r="E154" s="324" t="s">
        <v>1752</v>
      </c>
      <c r="F154" s="325" t="s">
        <v>1757</v>
      </c>
      <c r="G154" s="326" t="s">
        <v>1762</v>
      </c>
      <c r="H154" s="327" t="s">
        <v>1762</v>
      </c>
      <c r="I154" s="152"/>
      <c r="J154" s="328" t="s">
        <v>1766</v>
      </c>
      <c r="K154" s="323" t="s">
        <v>1748</v>
      </c>
      <c r="L154" s="330" t="s">
        <v>1769</v>
      </c>
      <c r="M154" s="330" t="s">
        <v>1928</v>
      </c>
      <c r="N154" s="152" t="s">
        <v>2042</v>
      </c>
      <c r="O154" s="152" t="s">
        <v>2191</v>
      </c>
      <c r="P154" s="152" t="s">
        <v>2309</v>
      </c>
      <c r="Q154" s="152"/>
      <c r="R154" s="152"/>
      <c r="S154" s="152"/>
      <c r="T154" s="152"/>
      <c r="U154" s="152"/>
      <c r="V154" s="152"/>
    </row>
    <row r="155" spans="1:22" x14ac:dyDescent="0.25">
      <c r="A155" s="124" t="str">
        <f t="shared" ca="1" si="5"/>
        <v>More detail for the bulk package</v>
      </c>
      <c r="B155" s="124"/>
      <c r="C155" s="122" t="s">
        <v>1674</v>
      </c>
      <c r="D155" s="122" t="s">
        <v>1673</v>
      </c>
      <c r="E155" s="329" t="s">
        <v>1673</v>
      </c>
      <c r="F155" s="329" t="s">
        <v>1673</v>
      </c>
      <c r="G155" s="329" t="s">
        <v>1673</v>
      </c>
      <c r="H155" s="329" t="s">
        <v>1673</v>
      </c>
      <c r="I155" s="329" t="s">
        <v>1673</v>
      </c>
      <c r="J155" s="329" t="s">
        <v>1673</v>
      </c>
      <c r="K155" s="329" t="s">
        <v>1673</v>
      </c>
      <c r="L155" s="329" t="s">
        <v>1673</v>
      </c>
      <c r="M155" s="329" t="s">
        <v>1673</v>
      </c>
      <c r="N155" s="152" t="s">
        <v>2043</v>
      </c>
      <c r="O155" s="152" t="s">
        <v>2192</v>
      </c>
      <c r="P155" s="152" t="s">
        <v>2310</v>
      </c>
      <c r="Q155" s="152"/>
      <c r="R155" s="152"/>
      <c r="S155" s="152"/>
      <c r="T155" s="152"/>
      <c r="U155" s="152"/>
      <c r="V155" s="152"/>
    </row>
    <row r="156" spans="1:22" x14ac:dyDescent="0.25">
      <c r="A156" s="121">
        <f t="shared" ref="A156" ca="1" si="6">OFFSET(B156,0,$B$2,1,1)</f>
        <v>0</v>
      </c>
      <c r="C156" s="125" t="s">
        <v>1672</v>
      </c>
      <c r="D156" s="125" t="s">
        <v>1740</v>
      </c>
      <c r="F156" s="303"/>
      <c r="G156" s="303"/>
      <c r="H156" s="303"/>
      <c r="I156" s="303"/>
      <c r="J156" s="303"/>
      <c r="K156" s="303"/>
      <c r="L156" s="303"/>
      <c r="M156" s="303"/>
      <c r="N156" s="303" t="s">
        <v>2044</v>
      </c>
      <c r="O156" s="303" t="s">
        <v>2193</v>
      </c>
      <c r="P156" s="303" t="s">
        <v>2311</v>
      </c>
      <c r="Q156" s="303"/>
      <c r="R156" s="303"/>
      <c r="S156" s="303"/>
      <c r="T156" s="303"/>
      <c r="U156" s="303"/>
      <c r="V156" s="303"/>
    </row>
    <row r="157" spans="1:22" x14ac:dyDescent="0.25">
      <c r="A157" s="121">
        <f t="shared" ref="A157:A160" ca="1" si="7">OFFSET(B157,0,$B$2,1,1)</f>
        <v>0</v>
      </c>
      <c r="C157" s="125" t="s">
        <v>1741</v>
      </c>
      <c r="D157" s="125" t="s">
        <v>1931</v>
      </c>
      <c r="F157" s="303"/>
      <c r="G157" s="303"/>
      <c r="H157" s="303"/>
      <c r="I157" s="303"/>
      <c r="J157" s="303"/>
      <c r="K157" s="303"/>
      <c r="L157" s="303"/>
      <c r="M157" s="303"/>
      <c r="N157" s="303" t="s">
        <v>2045</v>
      </c>
      <c r="O157" s="303" t="s">
        <v>2194</v>
      </c>
      <c r="P157" s="303" t="s">
        <v>2271</v>
      </c>
      <c r="Q157" s="303"/>
      <c r="R157" s="303"/>
      <c r="S157" s="303"/>
      <c r="T157" s="303"/>
      <c r="U157" s="303"/>
      <c r="V157" s="303"/>
    </row>
    <row r="158" spans="1:22" x14ac:dyDescent="0.25">
      <c r="A158" s="121">
        <f t="shared" ca="1" si="7"/>
        <v>0</v>
      </c>
      <c r="C158" s="125" t="s">
        <v>1742</v>
      </c>
      <c r="D158" s="125" t="s">
        <v>1932</v>
      </c>
      <c r="E158" s="303"/>
      <c r="F158" s="303"/>
      <c r="G158" s="303"/>
      <c r="H158" s="303"/>
      <c r="I158" s="303"/>
      <c r="J158" s="303"/>
      <c r="K158" s="303"/>
      <c r="L158" s="303"/>
      <c r="M158" s="303"/>
      <c r="N158" s="303" t="s">
        <v>2046</v>
      </c>
      <c r="O158" s="303" t="s">
        <v>2195</v>
      </c>
      <c r="P158" s="303" t="s">
        <v>2312</v>
      </c>
      <c r="Q158" s="303"/>
      <c r="R158" s="303"/>
      <c r="S158" s="303"/>
      <c r="T158" s="303"/>
      <c r="U158" s="303"/>
      <c r="V158" s="303"/>
    </row>
    <row r="159" spans="1:22" x14ac:dyDescent="0.25">
      <c r="A159" s="121">
        <f t="shared" ca="1" si="7"/>
        <v>0</v>
      </c>
      <c r="C159" s="125" t="s">
        <v>1534</v>
      </c>
      <c r="D159" s="125" t="s">
        <v>1933</v>
      </c>
      <c r="E159" s="303"/>
      <c r="F159" s="303"/>
      <c r="G159" s="303"/>
      <c r="H159" s="303"/>
      <c r="I159" s="303"/>
      <c r="J159" s="303"/>
      <c r="K159" s="303"/>
      <c r="L159" s="303"/>
      <c r="M159" s="303"/>
      <c r="N159" s="303" t="s">
        <v>2047</v>
      </c>
      <c r="O159" s="303" t="s">
        <v>2196</v>
      </c>
      <c r="P159" s="303" t="s">
        <v>2313</v>
      </c>
      <c r="Q159" s="303"/>
      <c r="R159" s="303"/>
      <c r="S159" s="303"/>
      <c r="T159" s="303"/>
      <c r="U159" s="303"/>
      <c r="V159" s="303"/>
    </row>
    <row r="160" spans="1:22" x14ac:dyDescent="0.25">
      <c r="A160" s="121">
        <f t="shared" ca="1" si="7"/>
        <v>0</v>
      </c>
      <c r="C160" s="125" t="s">
        <v>1739</v>
      </c>
      <c r="D160" s="125" t="s">
        <v>1934</v>
      </c>
      <c r="E160" s="303"/>
      <c r="F160" s="303"/>
      <c r="G160" s="303"/>
      <c r="H160" s="303"/>
      <c r="I160" s="303"/>
      <c r="J160" s="303"/>
      <c r="K160" s="303"/>
      <c r="L160" s="303"/>
      <c r="M160" s="303"/>
      <c r="N160" s="303" t="s">
        <v>2048</v>
      </c>
      <c r="O160" s="303" t="s">
        <v>2197</v>
      </c>
      <c r="P160" s="303" t="s">
        <v>2314</v>
      </c>
      <c r="Q160" s="303"/>
      <c r="R160" s="303"/>
      <c r="S160" s="303"/>
      <c r="T160" s="303"/>
      <c r="U160" s="303"/>
      <c r="V160" s="303"/>
    </row>
    <row r="161" spans="1:22" x14ac:dyDescent="0.25">
      <c r="C161" s="124"/>
      <c r="D161" s="125"/>
      <c r="E161" s="303"/>
      <c r="F161" s="303"/>
      <c r="G161" s="303"/>
      <c r="H161" s="303"/>
      <c r="I161" s="303"/>
      <c r="J161" s="303"/>
      <c r="K161" s="303"/>
      <c r="L161" s="303"/>
      <c r="M161" s="303"/>
      <c r="N161" s="303"/>
      <c r="O161" s="303"/>
      <c r="P161" s="303"/>
      <c r="Q161" s="303"/>
      <c r="R161" s="303"/>
      <c r="S161" s="303"/>
      <c r="T161" s="303"/>
      <c r="U161" s="303"/>
      <c r="V161" s="303"/>
    </row>
    <row r="162" spans="1:22" x14ac:dyDescent="0.25">
      <c r="C162" s="124"/>
      <c r="D162" s="125"/>
      <c r="E162" s="303"/>
      <c r="F162" s="303"/>
      <c r="G162" s="303"/>
      <c r="H162" s="303"/>
      <c r="I162" s="303"/>
      <c r="J162" s="303"/>
      <c r="K162" s="303"/>
      <c r="L162" s="303"/>
      <c r="M162" s="303"/>
      <c r="N162" s="303"/>
      <c r="O162" s="303"/>
      <c r="P162" s="303"/>
      <c r="Q162" s="303"/>
      <c r="R162" s="303"/>
      <c r="S162" s="303"/>
      <c r="T162" s="303"/>
      <c r="U162" s="303"/>
      <c r="V162" s="303"/>
    </row>
    <row r="163" spans="1:22" s="320" customFormat="1" x14ac:dyDescent="0.25">
      <c r="A163" s="320" t="s">
        <v>1743</v>
      </c>
      <c r="C163" s="321"/>
      <c r="D163" s="322"/>
      <c r="E163" s="321"/>
      <c r="F163" s="321"/>
      <c r="G163" s="321"/>
      <c r="H163" s="321"/>
      <c r="I163" s="321"/>
      <c r="J163" s="321"/>
      <c r="K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1"/>
      <c r="V163" s="321"/>
    </row>
    <row r="164" spans="1:22" x14ac:dyDescent="0.25">
      <c r="A164" s="121">
        <f t="shared" ca="1" si="5"/>
        <v>0</v>
      </c>
      <c r="C164" s="121" t="s">
        <v>1680</v>
      </c>
      <c r="D164" s="304"/>
      <c r="E164" s="305"/>
      <c r="F164" s="305"/>
      <c r="G164" s="305"/>
      <c r="H164" s="305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</row>
    <row r="165" spans="1:22" x14ac:dyDescent="0.25">
      <c r="A165" s="121">
        <f t="shared" ca="1" si="5"/>
        <v>0</v>
      </c>
      <c r="C165" s="121" t="s">
        <v>1681</v>
      </c>
      <c r="D165" s="304"/>
      <c r="E165" s="305"/>
      <c r="F165" s="305"/>
      <c r="G165" s="305"/>
      <c r="H165" s="305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</row>
    <row r="166" spans="1:22" x14ac:dyDescent="0.25">
      <c r="A166" s="121">
        <f t="shared" ca="1" si="5"/>
        <v>0</v>
      </c>
      <c r="C166" s="121" t="s">
        <v>1683</v>
      </c>
      <c r="D166" s="304"/>
      <c r="E166" s="305"/>
      <c r="F166" s="305"/>
      <c r="G166" s="305"/>
      <c r="H166" s="305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</row>
    <row r="167" spans="1:22" x14ac:dyDescent="0.25">
      <c r="A167" s="121">
        <f t="shared" ca="1" si="5"/>
        <v>0</v>
      </c>
      <c r="C167" s="121" t="s">
        <v>1681</v>
      </c>
      <c r="D167" s="304"/>
      <c r="E167" s="305"/>
      <c r="F167" s="305"/>
      <c r="G167" s="305"/>
      <c r="H167" s="305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</row>
    <row r="168" spans="1:22" x14ac:dyDescent="0.25">
      <c r="A168" s="121">
        <f t="shared" ca="1" si="5"/>
        <v>0</v>
      </c>
      <c r="C168" s="121" t="s">
        <v>1685</v>
      </c>
      <c r="D168" s="304"/>
      <c r="E168" s="305"/>
      <c r="F168" s="305"/>
      <c r="G168" s="305"/>
      <c r="H168" s="305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</row>
    <row r="169" spans="1:22" x14ac:dyDescent="0.25">
      <c r="A169" s="121">
        <f t="shared" ca="1" si="5"/>
        <v>0</v>
      </c>
      <c r="C169" s="121" t="s">
        <v>1681</v>
      </c>
      <c r="D169" s="304"/>
      <c r="E169" s="305"/>
      <c r="F169" s="305"/>
      <c r="G169" s="305"/>
      <c r="H169" s="305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</row>
    <row r="170" spans="1:22" x14ac:dyDescent="0.25">
      <c r="A170" s="121">
        <f t="shared" ca="1" si="5"/>
        <v>0</v>
      </c>
      <c r="C170" s="121" t="s">
        <v>1687</v>
      </c>
      <c r="D170" s="304"/>
      <c r="E170" s="305"/>
      <c r="F170" s="305"/>
      <c r="G170" s="305"/>
      <c r="H170" s="305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</row>
    <row r="171" spans="1:22" x14ac:dyDescent="0.25">
      <c r="A171" s="121">
        <f t="shared" ca="1" si="5"/>
        <v>0</v>
      </c>
      <c r="C171" s="121" t="s">
        <v>1681</v>
      </c>
      <c r="D171" s="304"/>
      <c r="E171" s="305"/>
      <c r="F171" s="305"/>
      <c r="G171" s="305"/>
      <c r="H171" s="305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</row>
    <row r="172" spans="1:22" x14ac:dyDescent="0.25">
      <c r="A172" s="121">
        <f t="shared" ca="1" si="5"/>
        <v>0</v>
      </c>
      <c r="C172" s="121" t="s">
        <v>1689</v>
      </c>
      <c r="D172" s="304"/>
      <c r="E172" s="305"/>
      <c r="F172" s="305"/>
      <c r="G172" s="305"/>
      <c r="H172" s="305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</row>
    <row r="173" spans="1:22" x14ac:dyDescent="0.25">
      <c r="A173" s="121">
        <f t="shared" ca="1" si="5"/>
        <v>0</v>
      </c>
      <c r="C173" s="121" t="s">
        <v>1681</v>
      </c>
      <c r="D173" s="304"/>
      <c r="E173" s="305"/>
      <c r="F173" s="305"/>
      <c r="G173" s="305"/>
      <c r="H173" s="305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</row>
    <row r="174" spans="1:22" x14ac:dyDescent="0.25">
      <c r="A174" s="121">
        <f t="shared" ca="1" si="5"/>
        <v>0</v>
      </c>
      <c r="C174" s="121" t="s">
        <v>1691</v>
      </c>
      <c r="D174" s="304"/>
      <c r="E174" s="305"/>
      <c r="F174" s="305"/>
      <c r="G174" s="305"/>
      <c r="H174" s="305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</row>
    <row r="175" spans="1:22" x14ac:dyDescent="0.25">
      <c r="A175" s="121">
        <f t="shared" ca="1" si="5"/>
        <v>0</v>
      </c>
      <c r="C175" s="121" t="s">
        <v>1693</v>
      </c>
      <c r="D175" s="304"/>
      <c r="E175" s="305"/>
      <c r="F175" s="305"/>
      <c r="G175" s="305"/>
      <c r="H175" s="305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</row>
    <row r="176" spans="1:22" x14ac:dyDescent="0.25">
      <c r="A176" s="121">
        <f t="shared" ca="1" si="5"/>
        <v>0</v>
      </c>
      <c r="C176" s="121" t="s">
        <v>1695</v>
      </c>
      <c r="D176" s="304"/>
      <c r="E176" s="305"/>
      <c r="F176" s="305"/>
      <c r="G176" s="305"/>
      <c r="H176" s="305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</row>
    <row r="177" spans="1:22" x14ac:dyDescent="0.25">
      <c r="A177" s="121">
        <f t="shared" ca="1" si="5"/>
        <v>0</v>
      </c>
      <c r="C177" s="121" t="s">
        <v>1693</v>
      </c>
      <c r="D177" s="304"/>
      <c r="E177" s="305"/>
      <c r="F177" s="305"/>
      <c r="G177" s="305"/>
      <c r="H177" s="305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</row>
    <row r="178" spans="1:22" x14ac:dyDescent="0.25">
      <c r="A178" s="121">
        <f t="shared" ref="A178:A241" ca="1" si="8">OFFSET(B178,0,$B$2,1,1)</f>
        <v>0</v>
      </c>
      <c r="C178" s="121" t="s">
        <v>1697</v>
      </c>
      <c r="D178" s="305"/>
      <c r="E178" s="305"/>
      <c r="F178" s="305"/>
      <c r="G178" s="305"/>
      <c r="H178" s="305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</row>
    <row r="179" spans="1:22" x14ac:dyDescent="0.25">
      <c r="A179" s="121">
        <f t="shared" ca="1" si="8"/>
        <v>0</v>
      </c>
      <c r="C179" s="121" t="s">
        <v>1693</v>
      </c>
      <c r="D179" s="305"/>
      <c r="E179" s="305"/>
      <c r="F179" s="305"/>
      <c r="G179" s="305"/>
      <c r="H179" s="305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</row>
    <row r="180" spans="1:22" x14ac:dyDescent="0.25">
      <c r="A180" s="121">
        <f t="shared" ca="1" si="8"/>
        <v>0</v>
      </c>
      <c r="C180" s="121" t="s">
        <v>1699</v>
      </c>
      <c r="D180" s="305"/>
      <c r="E180" s="305"/>
      <c r="F180" s="305"/>
      <c r="G180" s="305"/>
      <c r="H180" s="305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</row>
    <row r="181" spans="1:22" x14ac:dyDescent="0.25">
      <c r="A181" s="121">
        <f t="shared" ca="1" si="8"/>
        <v>0</v>
      </c>
      <c r="C181" s="121" t="s">
        <v>1693</v>
      </c>
      <c r="D181" s="305"/>
      <c r="E181" s="305"/>
      <c r="F181" s="305"/>
      <c r="G181" s="305"/>
      <c r="H181" s="305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</row>
    <row r="182" spans="1:22" x14ac:dyDescent="0.25">
      <c r="A182" s="121">
        <f t="shared" ca="1" si="8"/>
        <v>0</v>
      </c>
      <c r="C182" s="121" t="s">
        <v>1701</v>
      </c>
      <c r="D182" s="305"/>
      <c r="E182" s="305"/>
      <c r="F182" s="305"/>
      <c r="G182" s="305"/>
      <c r="H182" s="305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</row>
    <row r="183" spans="1:22" x14ac:dyDescent="0.25">
      <c r="A183" s="121">
        <f t="shared" ca="1" si="8"/>
        <v>0</v>
      </c>
      <c r="C183" s="121" t="s">
        <v>1693</v>
      </c>
      <c r="D183" s="305"/>
      <c r="E183" s="305"/>
      <c r="F183" s="305"/>
      <c r="G183" s="305"/>
      <c r="H183" s="305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</row>
    <row r="184" spans="1:22" x14ac:dyDescent="0.25">
      <c r="A184" s="121">
        <f t="shared" ca="1" si="8"/>
        <v>0</v>
      </c>
      <c r="C184" s="121" t="s">
        <v>1703</v>
      </c>
      <c r="D184" s="305"/>
      <c r="E184" s="305"/>
      <c r="F184" s="305"/>
      <c r="G184" s="305"/>
      <c r="H184" s="305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</row>
    <row r="185" spans="1:22" x14ac:dyDescent="0.25">
      <c r="A185" s="121">
        <f t="shared" ca="1" si="8"/>
        <v>0</v>
      </c>
      <c r="C185" s="121" t="s">
        <v>1705</v>
      </c>
      <c r="D185" s="305"/>
      <c r="E185" s="305"/>
      <c r="F185" s="305"/>
      <c r="G185" s="305"/>
      <c r="H185" s="305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</row>
    <row r="186" spans="1:22" x14ac:dyDescent="0.25">
      <c r="A186" s="121">
        <f t="shared" ca="1" si="8"/>
        <v>0</v>
      </c>
      <c r="C186" s="121" t="s">
        <v>1707</v>
      </c>
      <c r="D186" s="305"/>
      <c r="E186" s="305"/>
      <c r="F186" s="305"/>
      <c r="G186" s="305"/>
      <c r="H186" s="305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</row>
    <row r="187" spans="1:22" x14ac:dyDescent="0.25">
      <c r="A187" s="121">
        <f t="shared" ca="1" si="8"/>
        <v>0</v>
      </c>
      <c r="C187" s="121" t="s">
        <v>1703</v>
      </c>
      <c r="D187" s="305"/>
      <c r="E187" s="305"/>
      <c r="F187" s="305"/>
      <c r="G187" s="305"/>
      <c r="H187" s="305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</row>
    <row r="188" spans="1:22" x14ac:dyDescent="0.25">
      <c r="A188" s="121">
        <f t="shared" ca="1" si="8"/>
        <v>0</v>
      </c>
      <c r="C188" s="121" t="s">
        <v>1705</v>
      </c>
      <c r="D188" s="305"/>
      <c r="E188" s="305"/>
      <c r="F188" s="305"/>
      <c r="G188" s="305"/>
      <c r="H188" s="305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</row>
    <row r="189" spans="1:22" x14ac:dyDescent="0.25">
      <c r="A189" s="121">
        <f t="shared" ca="1" si="8"/>
        <v>0</v>
      </c>
      <c r="C189" s="121" t="s">
        <v>1707</v>
      </c>
      <c r="D189" s="305"/>
      <c r="E189" s="305"/>
      <c r="F189" s="305"/>
      <c r="G189" s="305"/>
      <c r="H189" s="305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</row>
    <row r="190" spans="1:22" x14ac:dyDescent="0.25">
      <c r="A190" s="121">
        <f t="shared" ca="1" si="8"/>
        <v>0</v>
      </c>
      <c r="C190" s="121" t="s">
        <v>1710</v>
      </c>
      <c r="D190" s="305"/>
      <c r="E190" s="305"/>
      <c r="F190" s="305"/>
      <c r="G190" s="305"/>
      <c r="H190" s="305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</row>
    <row r="191" spans="1:22" x14ac:dyDescent="0.25">
      <c r="A191" s="121">
        <f t="shared" ca="1" si="8"/>
        <v>0</v>
      </c>
      <c r="C191" s="121" t="s">
        <v>1712</v>
      </c>
      <c r="D191" s="305"/>
      <c r="E191" s="305"/>
      <c r="F191" s="305"/>
      <c r="G191" s="305"/>
      <c r="H191" s="305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</row>
    <row r="192" spans="1:22" x14ac:dyDescent="0.25">
      <c r="A192" s="121">
        <f t="shared" ca="1" si="8"/>
        <v>0</v>
      </c>
      <c r="C192" s="121" t="s">
        <v>1714</v>
      </c>
      <c r="D192" s="305"/>
      <c r="E192" s="305"/>
      <c r="F192" s="305"/>
      <c r="G192" s="305"/>
      <c r="H192" s="305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</row>
    <row r="193" spans="1:22" x14ac:dyDescent="0.25">
      <c r="A193" s="121">
        <f t="shared" ca="1" si="8"/>
        <v>0</v>
      </c>
      <c r="C193" s="121" t="s">
        <v>1716</v>
      </c>
      <c r="D193" s="305"/>
      <c r="E193" s="305"/>
      <c r="F193" s="305"/>
      <c r="G193" s="305"/>
      <c r="H193" s="305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</row>
    <row r="194" spans="1:22" x14ac:dyDescent="0.25">
      <c r="A194" s="121">
        <f t="shared" ca="1" si="8"/>
        <v>0</v>
      </c>
      <c r="C194" s="121" t="s">
        <v>1718</v>
      </c>
      <c r="D194" s="305"/>
      <c r="E194" s="305"/>
      <c r="F194" s="305"/>
      <c r="G194" s="305"/>
      <c r="H194" s="305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</row>
    <row r="195" spans="1:22" x14ac:dyDescent="0.25">
      <c r="A195" s="121">
        <f t="shared" ca="1" si="8"/>
        <v>0</v>
      </c>
      <c r="C195" s="121" t="s">
        <v>1720</v>
      </c>
      <c r="D195" s="305"/>
      <c r="E195" s="305"/>
      <c r="F195" s="305"/>
      <c r="G195" s="305"/>
      <c r="H195" s="305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</row>
    <row r="196" spans="1:22" x14ac:dyDescent="0.25">
      <c r="A196" s="121">
        <f t="shared" ca="1" si="8"/>
        <v>0</v>
      </c>
      <c r="C196" s="121" t="s">
        <v>1722</v>
      </c>
      <c r="D196" s="305"/>
      <c r="E196" s="305"/>
      <c r="F196" s="305"/>
      <c r="G196" s="305"/>
      <c r="H196" s="305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</row>
    <row r="197" spans="1:22" x14ac:dyDescent="0.25">
      <c r="A197" s="121">
        <f t="shared" ca="1" si="8"/>
        <v>0</v>
      </c>
      <c r="C197" s="121" t="s">
        <v>1724</v>
      </c>
      <c r="D197" s="305"/>
      <c r="E197" s="305"/>
      <c r="F197" s="305"/>
      <c r="G197" s="305"/>
      <c r="H197" s="305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</row>
    <row r="198" spans="1:22" x14ac:dyDescent="0.25">
      <c r="A198" s="121">
        <f t="shared" ca="1" si="8"/>
        <v>0</v>
      </c>
      <c r="C198" s="121" t="s">
        <v>1726</v>
      </c>
      <c r="D198" s="305"/>
      <c r="E198" s="305"/>
      <c r="F198" s="305"/>
      <c r="G198" s="305"/>
      <c r="H198" s="305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</row>
    <row r="199" spans="1:22" x14ac:dyDescent="0.25">
      <c r="A199" s="121">
        <f t="shared" ca="1" si="8"/>
        <v>0</v>
      </c>
      <c r="C199" s="121" t="s">
        <v>1728</v>
      </c>
      <c r="D199" s="305"/>
      <c r="E199" s="305"/>
      <c r="F199" s="305"/>
      <c r="G199" s="305"/>
      <c r="H199" s="305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</row>
    <row r="200" spans="1:22" x14ac:dyDescent="0.25">
      <c r="A200" s="121">
        <f t="shared" ca="1" si="8"/>
        <v>0</v>
      </c>
      <c r="C200" s="121" t="s">
        <v>1730</v>
      </c>
      <c r="D200" s="305"/>
      <c r="E200" s="305"/>
      <c r="F200" s="305"/>
      <c r="G200" s="305"/>
      <c r="H200" s="305"/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</row>
    <row r="201" spans="1:22" x14ac:dyDescent="0.25">
      <c r="A201" s="121">
        <f t="shared" ca="1" si="8"/>
        <v>0</v>
      </c>
      <c r="C201" s="121" t="s">
        <v>1732</v>
      </c>
      <c r="D201" s="305"/>
      <c r="E201" s="305"/>
      <c r="F201" s="305"/>
      <c r="G201" s="305"/>
      <c r="H201" s="305"/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</row>
    <row r="202" spans="1:22" x14ac:dyDescent="0.25">
      <c r="A202" s="121">
        <f t="shared" ca="1" si="8"/>
        <v>0</v>
      </c>
      <c r="C202" s="121" t="s">
        <v>1734</v>
      </c>
      <c r="D202" s="305"/>
      <c r="E202" s="305"/>
      <c r="F202" s="305"/>
      <c r="G202" s="305"/>
      <c r="H202" s="305"/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</row>
    <row r="203" spans="1:22" x14ac:dyDescent="0.25">
      <c r="A203" s="121">
        <f t="shared" ca="1" si="8"/>
        <v>0</v>
      </c>
      <c r="C203" s="121" t="s">
        <v>1714</v>
      </c>
      <c r="D203" s="305"/>
      <c r="E203" s="305"/>
      <c r="F203" s="305"/>
      <c r="G203" s="305"/>
      <c r="H203" s="305"/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</row>
    <row r="204" spans="1:22" x14ac:dyDescent="0.25">
      <c r="A204" s="121">
        <f t="shared" ca="1" si="8"/>
        <v>0</v>
      </c>
      <c r="C204" s="121" t="s">
        <v>1716</v>
      </c>
      <c r="D204" s="305"/>
      <c r="E204" s="305"/>
      <c r="F204" s="305"/>
      <c r="G204" s="305"/>
      <c r="H204" s="305"/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</row>
    <row r="205" spans="1:22" x14ac:dyDescent="0.25">
      <c r="A205" s="121">
        <f t="shared" ca="1" si="8"/>
        <v>0</v>
      </c>
      <c r="C205" s="121" t="s">
        <v>1718</v>
      </c>
      <c r="D205" s="305"/>
      <c r="E205" s="305"/>
      <c r="F205" s="305"/>
      <c r="G205" s="305"/>
      <c r="H205" s="305"/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</row>
    <row r="206" spans="1:22" x14ac:dyDescent="0.25">
      <c r="A206" s="121">
        <f t="shared" ca="1" si="8"/>
        <v>0</v>
      </c>
      <c r="C206" s="121" t="s">
        <v>1720</v>
      </c>
      <c r="D206" s="305"/>
      <c r="E206" s="305"/>
      <c r="F206" s="305"/>
      <c r="G206" s="305"/>
      <c r="H206" s="305"/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</row>
    <row r="207" spans="1:22" x14ac:dyDescent="0.25">
      <c r="A207" s="121">
        <f t="shared" ca="1" si="8"/>
        <v>0</v>
      </c>
      <c r="C207" s="121" t="s">
        <v>1722</v>
      </c>
      <c r="D207" s="305"/>
      <c r="E207" s="305"/>
      <c r="F207" s="305"/>
      <c r="G207" s="305"/>
      <c r="H207" s="305"/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</row>
    <row r="208" spans="1:22" x14ac:dyDescent="0.25">
      <c r="A208" s="121">
        <f t="shared" ca="1" si="8"/>
        <v>0</v>
      </c>
      <c r="C208" s="121" t="s">
        <v>1724</v>
      </c>
      <c r="D208" s="305"/>
      <c r="E208" s="305"/>
      <c r="F208" s="305"/>
      <c r="G208" s="305"/>
      <c r="H208" s="305"/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</row>
    <row r="209" spans="1:22" x14ac:dyDescent="0.25">
      <c r="A209" s="121">
        <f t="shared" ca="1" si="8"/>
        <v>0</v>
      </c>
      <c r="C209" s="121" t="s">
        <v>1726</v>
      </c>
      <c r="D209" s="305"/>
      <c r="E209" s="305"/>
      <c r="F209" s="305"/>
      <c r="G209" s="305"/>
      <c r="H209" s="305"/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</row>
    <row r="210" spans="1:22" x14ac:dyDescent="0.25">
      <c r="A210" s="121">
        <f t="shared" ca="1" si="8"/>
        <v>0</v>
      </c>
      <c r="C210" s="121" t="s">
        <v>1728</v>
      </c>
      <c r="D210" s="305"/>
      <c r="E210" s="305"/>
      <c r="F210" s="305"/>
      <c r="G210" s="305"/>
      <c r="H210" s="305"/>
      <c r="I210" s="305"/>
      <c r="J210" s="305"/>
      <c r="K210" s="305"/>
      <c r="L210" s="305"/>
      <c r="M210" s="305" t="s">
        <v>1918</v>
      </c>
      <c r="N210" s="305"/>
      <c r="O210" s="305"/>
      <c r="P210" s="305"/>
      <c r="Q210" s="305"/>
      <c r="R210" s="305"/>
      <c r="S210" s="305"/>
      <c r="T210" s="305"/>
      <c r="U210" s="305"/>
      <c r="V210" s="305"/>
    </row>
    <row r="211" spans="1:22" x14ac:dyDescent="0.25">
      <c r="A211" s="121">
        <f t="shared" ca="1" si="8"/>
        <v>0</v>
      </c>
      <c r="C211" s="121" t="s">
        <v>1730</v>
      </c>
      <c r="D211" s="305"/>
      <c r="E211" s="305"/>
      <c r="F211" s="305"/>
      <c r="G211" s="305"/>
      <c r="H211" s="305"/>
      <c r="I211" s="305"/>
      <c r="J211" s="305"/>
      <c r="K211" s="305"/>
      <c r="L211" s="305"/>
      <c r="M211" s="305" t="s">
        <v>1919</v>
      </c>
      <c r="N211" s="305"/>
      <c r="O211" s="305"/>
      <c r="P211" s="305"/>
      <c r="Q211" s="305"/>
      <c r="R211" s="305"/>
      <c r="S211" s="305"/>
      <c r="T211" s="305"/>
      <c r="U211" s="305"/>
      <c r="V211" s="305"/>
    </row>
    <row r="212" spans="1:22" x14ac:dyDescent="0.25">
      <c r="A212" s="121">
        <f t="shared" ca="1" si="8"/>
        <v>0</v>
      </c>
      <c r="M212" s="121" t="s">
        <v>1920</v>
      </c>
    </row>
    <row r="213" spans="1:22" x14ac:dyDescent="0.25">
      <c r="A213" s="121">
        <f t="shared" ca="1" si="8"/>
        <v>0</v>
      </c>
    </row>
    <row r="214" spans="1:22" x14ac:dyDescent="0.25">
      <c r="A214" s="121">
        <f t="shared" ca="1" si="8"/>
        <v>0</v>
      </c>
    </row>
    <row r="215" spans="1:22" x14ac:dyDescent="0.25">
      <c r="A215" s="121">
        <f t="shared" ca="1" si="8"/>
        <v>0</v>
      </c>
    </row>
    <row r="216" spans="1:22" x14ac:dyDescent="0.25">
      <c r="A216" s="121">
        <f t="shared" ca="1" si="8"/>
        <v>0</v>
      </c>
    </row>
    <row r="217" spans="1:22" x14ac:dyDescent="0.25">
      <c r="A217" s="121">
        <f t="shared" ca="1" si="8"/>
        <v>0</v>
      </c>
    </row>
    <row r="218" spans="1:22" x14ac:dyDescent="0.25">
      <c r="A218" s="121">
        <f t="shared" ca="1" si="8"/>
        <v>0</v>
      </c>
    </row>
    <row r="219" spans="1:22" x14ac:dyDescent="0.25">
      <c r="A219" s="121">
        <f t="shared" ca="1" si="8"/>
        <v>0</v>
      </c>
    </row>
    <row r="220" spans="1:22" x14ac:dyDescent="0.25">
      <c r="A220" s="121">
        <f t="shared" ca="1" si="8"/>
        <v>0</v>
      </c>
    </row>
    <row r="221" spans="1:22" x14ac:dyDescent="0.25">
      <c r="A221" s="121">
        <f t="shared" ca="1" si="8"/>
        <v>0</v>
      </c>
    </row>
    <row r="222" spans="1:22" x14ac:dyDescent="0.25">
      <c r="A222" s="121">
        <f t="shared" ca="1" si="8"/>
        <v>0</v>
      </c>
    </row>
    <row r="223" spans="1:22" x14ac:dyDescent="0.25">
      <c r="A223" s="121">
        <f t="shared" ca="1" si="8"/>
        <v>0</v>
      </c>
    </row>
    <row r="224" spans="1:22" x14ac:dyDescent="0.25">
      <c r="A224" s="121">
        <f t="shared" ca="1" si="8"/>
        <v>0</v>
      </c>
    </row>
    <row r="225" spans="1:1" x14ac:dyDescent="0.25">
      <c r="A225" s="121">
        <f t="shared" ca="1" si="8"/>
        <v>0</v>
      </c>
    </row>
    <row r="226" spans="1:1" x14ac:dyDescent="0.25">
      <c r="A226" s="121">
        <f t="shared" ca="1" si="8"/>
        <v>0</v>
      </c>
    </row>
    <row r="227" spans="1:1" x14ac:dyDescent="0.25">
      <c r="A227" s="121">
        <f t="shared" ca="1" si="8"/>
        <v>0</v>
      </c>
    </row>
    <row r="228" spans="1:1" x14ac:dyDescent="0.25">
      <c r="A228" s="121">
        <f t="shared" ca="1" si="8"/>
        <v>0</v>
      </c>
    </row>
    <row r="229" spans="1:1" x14ac:dyDescent="0.25">
      <c r="A229" s="121">
        <f t="shared" ca="1" si="8"/>
        <v>0</v>
      </c>
    </row>
    <row r="230" spans="1:1" x14ac:dyDescent="0.25">
      <c r="A230" s="121">
        <f t="shared" ca="1" si="8"/>
        <v>0</v>
      </c>
    </row>
    <row r="231" spans="1:1" x14ac:dyDescent="0.25">
      <c r="A231" s="121">
        <f t="shared" ca="1" si="8"/>
        <v>0</v>
      </c>
    </row>
    <row r="232" spans="1:1" x14ac:dyDescent="0.25">
      <c r="A232" s="121">
        <f t="shared" ca="1" si="8"/>
        <v>0</v>
      </c>
    </row>
    <row r="233" spans="1:1" x14ac:dyDescent="0.25">
      <c r="A233" s="121">
        <f t="shared" ca="1" si="8"/>
        <v>0</v>
      </c>
    </row>
    <row r="234" spans="1:1" x14ac:dyDescent="0.25">
      <c r="A234" s="121">
        <f t="shared" ca="1" si="8"/>
        <v>0</v>
      </c>
    </row>
    <row r="235" spans="1:1" x14ac:dyDescent="0.25">
      <c r="A235" s="121">
        <f t="shared" ca="1" si="8"/>
        <v>0</v>
      </c>
    </row>
    <row r="236" spans="1:1" x14ac:dyDescent="0.25">
      <c r="A236" s="121">
        <f t="shared" ca="1" si="8"/>
        <v>0</v>
      </c>
    </row>
    <row r="237" spans="1:1" x14ac:dyDescent="0.25">
      <c r="A237" s="121">
        <f t="shared" ca="1" si="8"/>
        <v>0</v>
      </c>
    </row>
    <row r="238" spans="1:1" x14ac:dyDescent="0.25">
      <c r="A238" s="121">
        <f t="shared" ca="1" si="8"/>
        <v>0</v>
      </c>
    </row>
    <row r="239" spans="1:1" x14ac:dyDescent="0.25">
      <c r="A239" s="121">
        <f t="shared" ca="1" si="8"/>
        <v>0</v>
      </c>
    </row>
    <row r="240" spans="1:1" x14ac:dyDescent="0.25">
      <c r="A240" s="121">
        <f t="shared" ca="1" si="8"/>
        <v>0</v>
      </c>
    </row>
    <row r="241" spans="1:1" x14ac:dyDescent="0.25">
      <c r="A241" s="121">
        <f t="shared" ca="1" si="8"/>
        <v>0</v>
      </c>
    </row>
    <row r="242" spans="1:1" x14ac:dyDescent="0.25">
      <c r="A242" s="121">
        <f t="shared" ref="A242:A305" ca="1" si="9">OFFSET(B242,0,$B$2,1,1)</f>
        <v>0</v>
      </c>
    </row>
    <row r="243" spans="1:1" x14ac:dyDescent="0.25">
      <c r="A243" s="121">
        <f t="shared" ca="1" si="9"/>
        <v>0</v>
      </c>
    </row>
    <row r="244" spans="1:1" x14ac:dyDescent="0.25">
      <c r="A244" s="121">
        <f t="shared" ca="1" si="9"/>
        <v>0</v>
      </c>
    </row>
    <row r="245" spans="1:1" x14ac:dyDescent="0.25">
      <c r="A245" s="121">
        <f t="shared" ca="1" si="9"/>
        <v>0</v>
      </c>
    </row>
    <row r="246" spans="1:1" x14ac:dyDescent="0.25">
      <c r="A246" s="121">
        <f t="shared" ca="1" si="9"/>
        <v>0</v>
      </c>
    </row>
    <row r="247" spans="1:1" x14ac:dyDescent="0.25">
      <c r="A247" s="121">
        <f t="shared" ca="1" si="9"/>
        <v>0</v>
      </c>
    </row>
    <row r="248" spans="1:1" x14ac:dyDescent="0.25">
      <c r="A248" s="121">
        <f t="shared" ca="1" si="9"/>
        <v>0</v>
      </c>
    </row>
    <row r="249" spans="1:1" x14ac:dyDescent="0.25">
      <c r="A249" s="121">
        <f t="shared" ca="1" si="9"/>
        <v>0</v>
      </c>
    </row>
    <row r="250" spans="1:1" x14ac:dyDescent="0.25">
      <c r="A250" s="121">
        <f t="shared" ca="1" si="9"/>
        <v>0</v>
      </c>
    </row>
    <row r="251" spans="1:1" x14ac:dyDescent="0.25">
      <c r="A251" s="121">
        <f t="shared" ca="1" si="9"/>
        <v>0</v>
      </c>
    </row>
    <row r="252" spans="1:1" x14ac:dyDescent="0.25">
      <c r="A252" s="121">
        <f t="shared" ca="1" si="9"/>
        <v>0</v>
      </c>
    </row>
    <row r="253" spans="1:1" x14ac:dyDescent="0.25">
      <c r="A253" s="121">
        <f t="shared" ca="1" si="9"/>
        <v>0</v>
      </c>
    </row>
    <row r="254" spans="1:1" x14ac:dyDescent="0.25">
      <c r="A254" s="121">
        <f t="shared" ca="1" si="9"/>
        <v>0</v>
      </c>
    </row>
    <row r="255" spans="1:1" x14ac:dyDescent="0.25">
      <c r="A255" s="121">
        <f t="shared" ca="1" si="9"/>
        <v>0</v>
      </c>
    </row>
    <row r="256" spans="1:1" x14ac:dyDescent="0.25">
      <c r="A256" s="121">
        <f t="shared" ca="1" si="9"/>
        <v>0</v>
      </c>
    </row>
    <row r="257" spans="1:1" x14ac:dyDescent="0.25">
      <c r="A257" s="121">
        <f t="shared" ca="1" si="9"/>
        <v>0</v>
      </c>
    </row>
    <row r="258" spans="1:1" x14ac:dyDescent="0.25">
      <c r="A258" s="121">
        <f t="shared" ca="1" si="9"/>
        <v>0</v>
      </c>
    </row>
    <row r="259" spans="1:1" x14ac:dyDescent="0.25">
      <c r="A259" s="121">
        <f t="shared" ca="1" si="9"/>
        <v>0</v>
      </c>
    </row>
    <row r="260" spans="1:1" x14ac:dyDescent="0.25">
      <c r="A260" s="121">
        <f t="shared" ca="1" si="9"/>
        <v>0</v>
      </c>
    </row>
    <row r="261" spans="1:1" x14ac:dyDescent="0.25">
      <c r="A261" s="121">
        <f t="shared" ca="1" si="9"/>
        <v>0</v>
      </c>
    </row>
    <row r="262" spans="1:1" x14ac:dyDescent="0.25">
      <c r="A262" s="121">
        <f t="shared" ca="1" si="9"/>
        <v>0</v>
      </c>
    </row>
    <row r="263" spans="1:1" x14ac:dyDescent="0.25">
      <c r="A263" s="121">
        <f t="shared" ca="1" si="9"/>
        <v>0</v>
      </c>
    </row>
    <row r="264" spans="1:1" x14ac:dyDescent="0.25">
      <c r="A264" s="121">
        <f t="shared" ca="1" si="9"/>
        <v>0</v>
      </c>
    </row>
    <row r="265" spans="1:1" x14ac:dyDescent="0.25">
      <c r="A265" s="121">
        <f t="shared" ca="1" si="9"/>
        <v>0</v>
      </c>
    </row>
    <row r="266" spans="1:1" x14ac:dyDescent="0.25">
      <c r="A266" s="121">
        <f t="shared" ca="1" si="9"/>
        <v>0</v>
      </c>
    </row>
    <row r="267" spans="1:1" x14ac:dyDescent="0.25">
      <c r="A267" s="121">
        <f t="shared" ca="1" si="9"/>
        <v>0</v>
      </c>
    </row>
    <row r="268" spans="1:1" x14ac:dyDescent="0.25">
      <c r="A268" s="121">
        <f t="shared" ca="1" si="9"/>
        <v>0</v>
      </c>
    </row>
    <row r="269" spans="1:1" x14ac:dyDescent="0.25">
      <c r="A269" s="121">
        <f t="shared" ca="1" si="9"/>
        <v>0</v>
      </c>
    </row>
    <row r="270" spans="1:1" x14ac:dyDescent="0.25">
      <c r="A270" s="121">
        <f t="shared" ca="1" si="9"/>
        <v>0</v>
      </c>
    </row>
    <row r="271" spans="1:1" x14ac:dyDescent="0.25">
      <c r="A271" s="121">
        <f t="shared" ca="1" si="9"/>
        <v>0</v>
      </c>
    </row>
    <row r="272" spans="1:1" x14ac:dyDescent="0.25">
      <c r="A272" s="121">
        <f t="shared" ca="1" si="9"/>
        <v>0</v>
      </c>
    </row>
    <row r="273" spans="1:1" x14ac:dyDescent="0.25">
      <c r="A273" s="121">
        <f t="shared" ca="1" si="9"/>
        <v>0</v>
      </c>
    </row>
    <row r="274" spans="1:1" x14ac:dyDescent="0.25">
      <c r="A274" s="121">
        <f t="shared" ca="1" si="9"/>
        <v>0</v>
      </c>
    </row>
    <row r="275" spans="1:1" x14ac:dyDescent="0.25">
      <c r="A275" s="121">
        <f t="shared" ca="1" si="9"/>
        <v>0</v>
      </c>
    </row>
    <row r="276" spans="1:1" x14ac:dyDescent="0.25">
      <c r="A276" s="121">
        <f t="shared" ca="1" si="9"/>
        <v>0</v>
      </c>
    </row>
    <row r="277" spans="1:1" x14ac:dyDescent="0.25">
      <c r="A277" s="121">
        <f t="shared" ca="1" si="9"/>
        <v>0</v>
      </c>
    </row>
    <row r="278" spans="1:1" x14ac:dyDescent="0.25">
      <c r="A278" s="121">
        <f t="shared" ca="1" si="9"/>
        <v>0</v>
      </c>
    </row>
    <row r="279" spans="1:1" x14ac:dyDescent="0.25">
      <c r="A279" s="121">
        <f t="shared" ca="1" si="9"/>
        <v>0</v>
      </c>
    </row>
    <row r="280" spans="1:1" x14ac:dyDescent="0.25">
      <c r="A280" s="121">
        <f t="shared" ca="1" si="9"/>
        <v>0</v>
      </c>
    </row>
    <row r="281" spans="1:1" x14ac:dyDescent="0.25">
      <c r="A281" s="121">
        <f t="shared" ca="1" si="9"/>
        <v>0</v>
      </c>
    </row>
    <row r="282" spans="1:1" x14ac:dyDescent="0.25">
      <c r="A282" s="121">
        <f t="shared" ca="1" si="9"/>
        <v>0</v>
      </c>
    </row>
    <row r="283" spans="1:1" x14ac:dyDescent="0.25">
      <c r="A283" s="121">
        <f t="shared" ca="1" si="9"/>
        <v>0</v>
      </c>
    </row>
    <row r="284" spans="1:1" x14ac:dyDescent="0.25">
      <c r="A284" s="121">
        <f t="shared" ca="1" si="9"/>
        <v>0</v>
      </c>
    </row>
    <row r="285" spans="1:1" x14ac:dyDescent="0.25">
      <c r="A285" s="121">
        <f t="shared" ca="1" si="9"/>
        <v>0</v>
      </c>
    </row>
    <row r="286" spans="1:1" x14ac:dyDescent="0.25">
      <c r="A286" s="121">
        <f t="shared" ca="1" si="9"/>
        <v>0</v>
      </c>
    </row>
    <row r="287" spans="1:1" x14ac:dyDescent="0.25">
      <c r="A287" s="121">
        <f t="shared" ca="1" si="9"/>
        <v>0</v>
      </c>
    </row>
    <row r="288" spans="1:1" x14ac:dyDescent="0.25">
      <c r="A288" s="121">
        <f t="shared" ca="1" si="9"/>
        <v>0</v>
      </c>
    </row>
    <row r="289" spans="1:1" x14ac:dyDescent="0.25">
      <c r="A289" s="121">
        <f t="shared" ca="1" si="9"/>
        <v>0</v>
      </c>
    </row>
    <row r="290" spans="1:1" x14ac:dyDescent="0.25">
      <c r="A290" s="121">
        <f t="shared" ca="1" si="9"/>
        <v>0</v>
      </c>
    </row>
    <row r="291" spans="1:1" x14ac:dyDescent="0.25">
      <c r="A291" s="121">
        <f t="shared" ca="1" si="9"/>
        <v>0</v>
      </c>
    </row>
    <row r="292" spans="1:1" x14ac:dyDescent="0.25">
      <c r="A292" s="121">
        <f t="shared" ca="1" si="9"/>
        <v>0</v>
      </c>
    </row>
    <row r="293" spans="1:1" x14ac:dyDescent="0.25">
      <c r="A293" s="121">
        <f t="shared" ca="1" si="9"/>
        <v>0</v>
      </c>
    </row>
    <row r="294" spans="1:1" x14ac:dyDescent="0.25">
      <c r="A294" s="121">
        <f t="shared" ca="1" si="9"/>
        <v>0</v>
      </c>
    </row>
    <row r="295" spans="1:1" x14ac:dyDescent="0.25">
      <c r="A295" s="121">
        <f t="shared" ca="1" si="9"/>
        <v>0</v>
      </c>
    </row>
    <row r="296" spans="1:1" x14ac:dyDescent="0.25">
      <c r="A296" s="121">
        <f t="shared" ca="1" si="9"/>
        <v>0</v>
      </c>
    </row>
    <row r="297" spans="1:1" x14ac:dyDescent="0.25">
      <c r="A297" s="121">
        <f t="shared" ca="1" si="9"/>
        <v>0</v>
      </c>
    </row>
    <row r="298" spans="1:1" x14ac:dyDescent="0.25">
      <c r="A298" s="121">
        <f t="shared" ca="1" si="9"/>
        <v>0</v>
      </c>
    </row>
    <row r="299" spans="1:1" x14ac:dyDescent="0.25">
      <c r="A299" s="121">
        <f t="shared" ca="1" si="9"/>
        <v>0</v>
      </c>
    </row>
    <row r="300" spans="1:1" x14ac:dyDescent="0.25">
      <c r="A300" s="121">
        <f t="shared" ca="1" si="9"/>
        <v>0</v>
      </c>
    </row>
    <row r="301" spans="1:1" x14ac:dyDescent="0.25">
      <c r="A301" s="121">
        <f t="shared" ca="1" si="9"/>
        <v>0</v>
      </c>
    </row>
    <row r="302" spans="1:1" x14ac:dyDescent="0.25">
      <c r="A302" s="121">
        <f t="shared" ca="1" si="9"/>
        <v>0</v>
      </c>
    </row>
    <row r="303" spans="1:1" x14ac:dyDescent="0.25">
      <c r="A303" s="121">
        <f t="shared" ca="1" si="9"/>
        <v>0</v>
      </c>
    </row>
    <row r="304" spans="1:1" x14ac:dyDescent="0.25">
      <c r="A304" s="121">
        <f t="shared" ca="1" si="9"/>
        <v>0</v>
      </c>
    </row>
    <row r="305" spans="1:1" x14ac:dyDescent="0.25">
      <c r="A305" s="121">
        <f t="shared" ca="1" si="9"/>
        <v>0</v>
      </c>
    </row>
    <row r="306" spans="1:1" x14ac:dyDescent="0.25">
      <c r="A306" s="121">
        <f t="shared" ref="A306:A369" ca="1" si="10">OFFSET(B306,0,$B$2,1,1)</f>
        <v>0</v>
      </c>
    </row>
    <row r="307" spans="1:1" x14ac:dyDescent="0.25">
      <c r="A307" s="121">
        <f t="shared" ca="1" si="10"/>
        <v>0</v>
      </c>
    </row>
    <row r="308" spans="1:1" x14ac:dyDescent="0.25">
      <c r="A308" s="121">
        <f t="shared" ca="1" si="10"/>
        <v>0</v>
      </c>
    </row>
    <row r="309" spans="1:1" x14ac:dyDescent="0.25">
      <c r="A309" s="121">
        <f t="shared" ca="1" si="10"/>
        <v>0</v>
      </c>
    </row>
    <row r="310" spans="1:1" x14ac:dyDescent="0.25">
      <c r="A310" s="121">
        <f t="shared" ca="1" si="10"/>
        <v>0</v>
      </c>
    </row>
    <row r="311" spans="1:1" x14ac:dyDescent="0.25">
      <c r="A311" s="121">
        <f t="shared" ca="1" si="10"/>
        <v>0</v>
      </c>
    </row>
    <row r="312" spans="1:1" x14ac:dyDescent="0.25">
      <c r="A312" s="121">
        <f t="shared" ca="1" si="10"/>
        <v>0</v>
      </c>
    </row>
    <row r="313" spans="1:1" x14ac:dyDescent="0.25">
      <c r="A313" s="121">
        <f t="shared" ca="1" si="10"/>
        <v>0</v>
      </c>
    </row>
    <row r="314" spans="1:1" x14ac:dyDescent="0.25">
      <c r="A314" s="121">
        <f t="shared" ca="1" si="10"/>
        <v>0</v>
      </c>
    </row>
    <row r="315" spans="1:1" x14ac:dyDescent="0.25">
      <c r="A315" s="121">
        <f t="shared" ca="1" si="10"/>
        <v>0</v>
      </c>
    </row>
    <row r="316" spans="1:1" x14ac:dyDescent="0.25">
      <c r="A316" s="121">
        <f t="shared" ca="1" si="10"/>
        <v>0</v>
      </c>
    </row>
    <row r="317" spans="1:1" x14ac:dyDescent="0.25">
      <c r="A317" s="121">
        <f t="shared" ca="1" si="10"/>
        <v>0</v>
      </c>
    </row>
    <row r="318" spans="1:1" x14ac:dyDescent="0.25">
      <c r="A318" s="121">
        <f t="shared" ca="1" si="10"/>
        <v>0</v>
      </c>
    </row>
    <row r="319" spans="1:1" x14ac:dyDescent="0.25">
      <c r="A319" s="121">
        <f t="shared" ca="1" si="10"/>
        <v>0</v>
      </c>
    </row>
    <row r="320" spans="1:1" x14ac:dyDescent="0.25">
      <c r="A320" s="121">
        <f t="shared" ca="1" si="10"/>
        <v>0</v>
      </c>
    </row>
    <row r="321" spans="1:1" x14ac:dyDescent="0.25">
      <c r="A321" s="121">
        <f t="shared" ca="1" si="10"/>
        <v>0</v>
      </c>
    </row>
    <row r="322" spans="1:1" x14ac:dyDescent="0.25">
      <c r="A322" s="121">
        <f t="shared" ca="1" si="10"/>
        <v>0</v>
      </c>
    </row>
    <row r="323" spans="1:1" x14ac:dyDescent="0.25">
      <c r="A323" s="121">
        <f t="shared" ca="1" si="10"/>
        <v>0</v>
      </c>
    </row>
    <row r="324" spans="1:1" x14ac:dyDescent="0.25">
      <c r="A324" s="121">
        <f t="shared" ca="1" si="10"/>
        <v>0</v>
      </c>
    </row>
    <row r="325" spans="1:1" x14ac:dyDescent="0.25">
      <c r="A325" s="121">
        <f t="shared" ca="1" si="10"/>
        <v>0</v>
      </c>
    </row>
    <row r="326" spans="1:1" x14ac:dyDescent="0.25">
      <c r="A326" s="121">
        <f t="shared" ca="1" si="10"/>
        <v>0</v>
      </c>
    </row>
    <row r="327" spans="1:1" x14ac:dyDescent="0.25">
      <c r="A327" s="121">
        <f t="shared" ca="1" si="10"/>
        <v>0</v>
      </c>
    </row>
    <row r="328" spans="1:1" x14ac:dyDescent="0.25">
      <c r="A328" s="121">
        <f t="shared" ca="1" si="10"/>
        <v>0</v>
      </c>
    </row>
    <row r="329" spans="1:1" x14ac:dyDescent="0.25">
      <c r="A329" s="121">
        <f t="shared" ca="1" si="10"/>
        <v>0</v>
      </c>
    </row>
    <row r="330" spans="1:1" x14ac:dyDescent="0.25">
      <c r="A330" s="121">
        <f t="shared" ca="1" si="10"/>
        <v>0</v>
      </c>
    </row>
    <row r="331" spans="1:1" x14ac:dyDescent="0.25">
      <c r="A331" s="121">
        <f t="shared" ca="1" si="10"/>
        <v>0</v>
      </c>
    </row>
    <row r="332" spans="1:1" x14ac:dyDescent="0.25">
      <c r="A332" s="121">
        <f t="shared" ca="1" si="10"/>
        <v>0</v>
      </c>
    </row>
    <row r="333" spans="1:1" x14ac:dyDescent="0.25">
      <c r="A333" s="121">
        <f t="shared" ca="1" si="10"/>
        <v>0</v>
      </c>
    </row>
    <row r="334" spans="1:1" x14ac:dyDescent="0.25">
      <c r="A334" s="121">
        <f t="shared" ca="1" si="10"/>
        <v>0</v>
      </c>
    </row>
    <row r="335" spans="1:1" x14ac:dyDescent="0.25">
      <c r="A335" s="121">
        <f t="shared" ca="1" si="10"/>
        <v>0</v>
      </c>
    </row>
    <row r="336" spans="1:1" x14ac:dyDescent="0.25">
      <c r="A336" s="121">
        <f t="shared" ca="1" si="10"/>
        <v>0</v>
      </c>
    </row>
    <row r="337" spans="1:1" x14ac:dyDescent="0.25">
      <c r="A337" s="121">
        <f t="shared" ca="1" si="10"/>
        <v>0</v>
      </c>
    </row>
    <row r="338" spans="1:1" x14ac:dyDescent="0.25">
      <c r="A338" s="121">
        <f t="shared" ca="1" si="10"/>
        <v>0</v>
      </c>
    </row>
    <row r="339" spans="1:1" x14ac:dyDescent="0.25">
      <c r="A339" s="121">
        <f t="shared" ca="1" si="10"/>
        <v>0</v>
      </c>
    </row>
    <row r="340" spans="1:1" x14ac:dyDescent="0.25">
      <c r="A340" s="121">
        <f t="shared" ca="1" si="10"/>
        <v>0</v>
      </c>
    </row>
    <row r="341" spans="1:1" x14ac:dyDescent="0.25">
      <c r="A341" s="121">
        <f t="shared" ca="1" si="10"/>
        <v>0</v>
      </c>
    </row>
    <row r="342" spans="1:1" x14ac:dyDescent="0.25">
      <c r="A342" s="121">
        <f t="shared" ca="1" si="10"/>
        <v>0</v>
      </c>
    </row>
    <row r="343" spans="1:1" x14ac:dyDescent="0.25">
      <c r="A343" s="121">
        <f t="shared" ca="1" si="10"/>
        <v>0</v>
      </c>
    </row>
    <row r="344" spans="1:1" x14ac:dyDescent="0.25">
      <c r="A344" s="121">
        <f t="shared" ca="1" si="10"/>
        <v>0</v>
      </c>
    </row>
    <row r="345" spans="1:1" x14ac:dyDescent="0.25">
      <c r="A345" s="121">
        <f t="shared" ca="1" si="10"/>
        <v>0</v>
      </c>
    </row>
    <row r="346" spans="1:1" x14ac:dyDescent="0.25">
      <c r="A346" s="121">
        <f t="shared" ca="1" si="10"/>
        <v>0</v>
      </c>
    </row>
    <row r="347" spans="1:1" x14ac:dyDescent="0.25">
      <c r="A347" s="121">
        <f t="shared" ca="1" si="10"/>
        <v>0</v>
      </c>
    </row>
    <row r="348" spans="1:1" x14ac:dyDescent="0.25">
      <c r="A348" s="121">
        <f t="shared" ca="1" si="10"/>
        <v>0</v>
      </c>
    </row>
    <row r="349" spans="1:1" x14ac:dyDescent="0.25">
      <c r="A349" s="121">
        <f t="shared" ca="1" si="10"/>
        <v>0</v>
      </c>
    </row>
    <row r="350" spans="1:1" x14ac:dyDescent="0.25">
      <c r="A350" s="121">
        <f t="shared" ca="1" si="10"/>
        <v>0</v>
      </c>
    </row>
    <row r="351" spans="1:1" x14ac:dyDescent="0.25">
      <c r="A351" s="121">
        <f t="shared" ca="1" si="10"/>
        <v>0</v>
      </c>
    </row>
    <row r="352" spans="1:1" x14ac:dyDescent="0.25">
      <c r="A352" s="121">
        <f t="shared" ca="1" si="10"/>
        <v>0</v>
      </c>
    </row>
    <row r="353" spans="1:1" x14ac:dyDescent="0.25">
      <c r="A353" s="121">
        <f t="shared" ca="1" si="10"/>
        <v>0</v>
      </c>
    </row>
    <row r="354" spans="1:1" x14ac:dyDescent="0.25">
      <c r="A354" s="121">
        <f t="shared" ca="1" si="10"/>
        <v>0</v>
      </c>
    </row>
    <row r="355" spans="1:1" x14ac:dyDescent="0.25">
      <c r="A355" s="121">
        <f t="shared" ca="1" si="10"/>
        <v>0</v>
      </c>
    </row>
    <row r="356" spans="1:1" x14ac:dyDescent="0.25">
      <c r="A356" s="121">
        <f t="shared" ca="1" si="10"/>
        <v>0</v>
      </c>
    </row>
    <row r="357" spans="1:1" x14ac:dyDescent="0.25">
      <c r="A357" s="121">
        <f t="shared" ca="1" si="10"/>
        <v>0</v>
      </c>
    </row>
    <row r="358" spans="1:1" x14ac:dyDescent="0.25">
      <c r="A358" s="121">
        <f t="shared" ca="1" si="10"/>
        <v>0</v>
      </c>
    </row>
    <row r="359" spans="1:1" x14ac:dyDescent="0.25">
      <c r="A359" s="121">
        <f t="shared" ca="1" si="10"/>
        <v>0</v>
      </c>
    </row>
    <row r="360" spans="1:1" x14ac:dyDescent="0.25">
      <c r="A360" s="121">
        <f t="shared" ca="1" si="10"/>
        <v>0</v>
      </c>
    </row>
    <row r="361" spans="1:1" x14ac:dyDescent="0.25">
      <c r="A361" s="121">
        <f t="shared" ca="1" si="10"/>
        <v>0</v>
      </c>
    </row>
    <row r="362" spans="1:1" x14ac:dyDescent="0.25">
      <c r="A362" s="121">
        <f t="shared" ca="1" si="10"/>
        <v>0</v>
      </c>
    </row>
    <row r="363" spans="1:1" x14ac:dyDescent="0.25">
      <c r="A363" s="121">
        <f t="shared" ca="1" si="10"/>
        <v>0</v>
      </c>
    </row>
    <row r="364" spans="1:1" x14ac:dyDescent="0.25">
      <c r="A364" s="121">
        <f t="shared" ca="1" si="10"/>
        <v>0</v>
      </c>
    </row>
    <row r="365" spans="1:1" x14ac:dyDescent="0.25">
      <c r="A365" s="121">
        <f t="shared" ca="1" si="10"/>
        <v>0</v>
      </c>
    </row>
    <row r="366" spans="1:1" x14ac:dyDescent="0.25">
      <c r="A366" s="121">
        <f t="shared" ca="1" si="10"/>
        <v>0</v>
      </c>
    </row>
    <row r="367" spans="1:1" x14ac:dyDescent="0.25">
      <c r="A367" s="121">
        <f t="shared" ca="1" si="10"/>
        <v>0</v>
      </c>
    </row>
    <row r="368" spans="1:1" x14ac:dyDescent="0.25">
      <c r="A368" s="121">
        <f t="shared" ca="1" si="10"/>
        <v>0</v>
      </c>
    </row>
    <row r="369" spans="1:1" x14ac:dyDescent="0.25">
      <c r="A369" s="121">
        <f t="shared" ca="1" si="10"/>
        <v>0</v>
      </c>
    </row>
    <row r="370" spans="1:1" x14ac:dyDescent="0.25">
      <c r="A370" s="121">
        <f t="shared" ref="A370:A433" ca="1" si="11">OFFSET(B370,0,$B$2,1,1)</f>
        <v>0</v>
      </c>
    </row>
    <row r="371" spans="1:1" x14ac:dyDescent="0.25">
      <c r="A371" s="121">
        <f t="shared" ca="1" si="11"/>
        <v>0</v>
      </c>
    </row>
    <row r="372" spans="1:1" x14ac:dyDescent="0.25">
      <c r="A372" s="121">
        <f t="shared" ca="1" si="11"/>
        <v>0</v>
      </c>
    </row>
    <row r="373" spans="1:1" x14ac:dyDescent="0.25">
      <c r="A373" s="121">
        <f t="shared" ca="1" si="11"/>
        <v>0</v>
      </c>
    </row>
    <row r="374" spans="1:1" x14ac:dyDescent="0.25">
      <c r="A374" s="121">
        <f t="shared" ca="1" si="11"/>
        <v>0</v>
      </c>
    </row>
    <row r="375" spans="1:1" x14ac:dyDescent="0.25">
      <c r="A375" s="121">
        <f t="shared" ca="1" si="11"/>
        <v>0</v>
      </c>
    </row>
    <row r="376" spans="1:1" x14ac:dyDescent="0.25">
      <c r="A376" s="121">
        <f t="shared" ca="1" si="11"/>
        <v>0</v>
      </c>
    </row>
    <row r="377" spans="1:1" x14ac:dyDescent="0.25">
      <c r="A377" s="121">
        <f t="shared" ca="1" si="11"/>
        <v>0</v>
      </c>
    </row>
    <row r="378" spans="1:1" x14ac:dyDescent="0.25">
      <c r="A378" s="121">
        <f t="shared" ca="1" si="11"/>
        <v>0</v>
      </c>
    </row>
    <row r="379" spans="1:1" x14ac:dyDescent="0.25">
      <c r="A379" s="121">
        <f t="shared" ca="1" si="11"/>
        <v>0</v>
      </c>
    </row>
    <row r="380" spans="1:1" x14ac:dyDescent="0.25">
      <c r="A380" s="121">
        <f t="shared" ca="1" si="11"/>
        <v>0</v>
      </c>
    </row>
    <row r="381" spans="1:1" x14ac:dyDescent="0.25">
      <c r="A381" s="121">
        <f t="shared" ca="1" si="11"/>
        <v>0</v>
      </c>
    </row>
    <row r="382" spans="1:1" x14ac:dyDescent="0.25">
      <c r="A382" s="121">
        <f t="shared" ca="1" si="11"/>
        <v>0</v>
      </c>
    </row>
    <row r="383" spans="1:1" x14ac:dyDescent="0.25">
      <c r="A383" s="121">
        <f t="shared" ca="1" si="11"/>
        <v>0</v>
      </c>
    </row>
    <row r="384" spans="1:1" x14ac:dyDescent="0.25">
      <c r="A384" s="121">
        <f t="shared" ca="1" si="11"/>
        <v>0</v>
      </c>
    </row>
    <row r="385" spans="1:1" x14ac:dyDescent="0.25">
      <c r="A385" s="121">
        <f t="shared" ca="1" si="11"/>
        <v>0</v>
      </c>
    </row>
    <row r="386" spans="1:1" x14ac:dyDescent="0.25">
      <c r="A386" s="121">
        <f t="shared" ca="1" si="11"/>
        <v>0</v>
      </c>
    </row>
    <row r="387" spans="1:1" x14ac:dyDescent="0.25">
      <c r="A387" s="121">
        <f t="shared" ca="1" si="11"/>
        <v>0</v>
      </c>
    </row>
    <row r="388" spans="1:1" x14ac:dyDescent="0.25">
      <c r="A388" s="121">
        <f t="shared" ca="1" si="11"/>
        <v>0</v>
      </c>
    </row>
    <row r="389" spans="1:1" x14ac:dyDescent="0.25">
      <c r="A389" s="121">
        <f t="shared" ca="1" si="11"/>
        <v>0</v>
      </c>
    </row>
    <row r="390" spans="1:1" x14ac:dyDescent="0.25">
      <c r="A390" s="121">
        <f t="shared" ca="1" si="11"/>
        <v>0</v>
      </c>
    </row>
    <row r="391" spans="1:1" x14ac:dyDescent="0.25">
      <c r="A391" s="121">
        <f t="shared" ca="1" si="11"/>
        <v>0</v>
      </c>
    </row>
    <row r="392" spans="1:1" x14ac:dyDescent="0.25">
      <c r="A392" s="121">
        <f t="shared" ca="1" si="11"/>
        <v>0</v>
      </c>
    </row>
    <row r="393" spans="1:1" x14ac:dyDescent="0.25">
      <c r="A393" s="121">
        <f t="shared" ca="1" si="11"/>
        <v>0</v>
      </c>
    </row>
    <row r="394" spans="1:1" x14ac:dyDescent="0.25">
      <c r="A394" s="121">
        <f t="shared" ca="1" si="11"/>
        <v>0</v>
      </c>
    </row>
    <row r="395" spans="1:1" x14ac:dyDescent="0.25">
      <c r="A395" s="121">
        <f t="shared" ca="1" si="11"/>
        <v>0</v>
      </c>
    </row>
    <row r="396" spans="1:1" x14ac:dyDescent="0.25">
      <c r="A396" s="121">
        <f t="shared" ca="1" si="11"/>
        <v>0</v>
      </c>
    </row>
    <row r="397" spans="1:1" x14ac:dyDescent="0.25">
      <c r="A397" s="121">
        <f t="shared" ca="1" si="11"/>
        <v>0</v>
      </c>
    </row>
    <row r="398" spans="1:1" x14ac:dyDescent="0.25">
      <c r="A398" s="121">
        <f t="shared" ca="1" si="11"/>
        <v>0</v>
      </c>
    </row>
    <row r="399" spans="1:1" x14ac:dyDescent="0.25">
      <c r="A399" s="121">
        <f t="shared" ca="1" si="11"/>
        <v>0</v>
      </c>
    </row>
    <row r="400" spans="1:1" x14ac:dyDescent="0.25">
      <c r="A400" s="121">
        <f t="shared" ca="1" si="11"/>
        <v>0</v>
      </c>
    </row>
    <row r="401" spans="1:1" x14ac:dyDescent="0.25">
      <c r="A401" s="121">
        <f t="shared" ca="1" si="11"/>
        <v>0</v>
      </c>
    </row>
    <row r="402" spans="1:1" x14ac:dyDescent="0.25">
      <c r="A402" s="121">
        <f t="shared" ca="1" si="11"/>
        <v>0</v>
      </c>
    </row>
    <row r="403" spans="1:1" x14ac:dyDescent="0.25">
      <c r="A403" s="121">
        <f t="shared" ca="1" si="11"/>
        <v>0</v>
      </c>
    </row>
    <row r="404" spans="1:1" x14ac:dyDescent="0.25">
      <c r="A404" s="121">
        <f t="shared" ca="1" si="11"/>
        <v>0</v>
      </c>
    </row>
    <row r="405" spans="1:1" x14ac:dyDescent="0.25">
      <c r="A405" s="121">
        <f t="shared" ca="1" si="11"/>
        <v>0</v>
      </c>
    </row>
    <row r="406" spans="1:1" x14ac:dyDescent="0.25">
      <c r="A406" s="121">
        <f t="shared" ca="1" si="11"/>
        <v>0</v>
      </c>
    </row>
    <row r="407" spans="1:1" x14ac:dyDescent="0.25">
      <c r="A407" s="121">
        <f t="shared" ca="1" si="11"/>
        <v>0</v>
      </c>
    </row>
    <row r="408" spans="1:1" x14ac:dyDescent="0.25">
      <c r="A408" s="121">
        <f t="shared" ca="1" si="11"/>
        <v>0</v>
      </c>
    </row>
    <row r="409" spans="1:1" x14ac:dyDescent="0.25">
      <c r="A409" s="121">
        <f t="shared" ca="1" si="11"/>
        <v>0</v>
      </c>
    </row>
    <row r="410" spans="1:1" x14ac:dyDescent="0.25">
      <c r="A410" s="121">
        <f t="shared" ca="1" si="11"/>
        <v>0</v>
      </c>
    </row>
    <row r="411" spans="1:1" x14ac:dyDescent="0.25">
      <c r="A411" s="121">
        <f t="shared" ca="1" si="11"/>
        <v>0</v>
      </c>
    </row>
    <row r="412" spans="1:1" x14ac:dyDescent="0.25">
      <c r="A412" s="121">
        <f t="shared" ca="1" si="11"/>
        <v>0</v>
      </c>
    </row>
    <row r="413" spans="1:1" x14ac:dyDescent="0.25">
      <c r="A413" s="121">
        <f t="shared" ca="1" si="11"/>
        <v>0</v>
      </c>
    </row>
    <row r="414" spans="1:1" x14ac:dyDescent="0.25">
      <c r="A414" s="121">
        <f t="shared" ca="1" si="11"/>
        <v>0</v>
      </c>
    </row>
    <row r="415" spans="1:1" x14ac:dyDescent="0.25">
      <c r="A415" s="121">
        <f t="shared" ca="1" si="11"/>
        <v>0</v>
      </c>
    </row>
    <row r="416" spans="1:1" x14ac:dyDescent="0.25">
      <c r="A416" s="121">
        <f t="shared" ca="1" si="11"/>
        <v>0</v>
      </c>
    </row>
    <row r="417" spans="1:1" x14ac:dyDescent="0.25">
      <c r="A417" s="121">
        <f t="shared" ca="1" si="11"/>
        <v>0</v>
      </c>
    </row>
    <row r="418" spans="1:1" x14ac:dyDescent="0.25">
      <c r="A418" s="121">
        <f t="shared" ca="1" si="11"/>
        <v>0</v>
      </c>
    </row>
    <row r="419" spans="1:1" x14ac:dyDescent="0.25">
      <c r="A419" s="121">
        <f t="shared" ca="1" si="11"/>
        <v>0</v>
      </c>
    </row>
    <row r="420" spans="1:1" x14ac:dyDescent="0.25">
      <c r="A420" s="121">
        <f t="shared" ca="1" si="11"/>
        <v>0</v>
      </c>
    </row>
    <row r="421" spans="1:1" x14ac:dyDescent="0.25">
      <c r="A421" s="121">
        <f t="shared" ca="1" si="11"/>
        <v>0</v>
      </c>
    </row>
    <row r="422" spans="1:1" x14ac:dyDescent="0.25">
      <c r="A422" s="121">
        <f t="shared" ca="1" si="11"/>
        <v>0</v>
      </c>
    </row>
    <row r="423" spans="1:1" x14ac:dyDescent="0.25">
      <c r="A423" s="121">
        <f t="shared" ca="1" si="11"/>
        <v>0</v>
      </c>
    </row>
    <row r="424" spans="1:1" x14ac:dyDescent="0.25">
      <c r="A424" s="121">
        <f t="shared" ca="1" si="11"/>
        <v>0</v>
      </c>
    </row>
    <row r="425" spans="1:1" x14ac:dyDescent="0.25">
      <c r="A425" s="121">
        <f t="shared" ca="1" si="11"/>
        <v>0</v>
      </c>
    </row>
    <row r="426" spans="1:1" x14ac:dyDescent="0.25">
      <c r="A426" s="121">
        <f t="shared" ca="1" si="11"/>
        <v>0</v>
      </c>
    </row>
    <row r="427" spans="1:1" x14ac:dyDescent="0.25">
      <c r="A427" s="121">
        <f t="shared" ca="1" si="11"/>
        <v>0</v>
      </c>
    </row>
    <row r="428" spans="1:1" x14ac:dyDescent="0.25">
      <c r="A428" s="121">
        <f t="shared" ca="1" si="11"/>
        <v>0</v>
      </c>
    </row>
    <row r="429" spans="1:1" x14ac:dyDescent="0.25">
      <c r="A429" s="121">
        <f t="shared" ca="1" si="11"/>
        <v>0</v>
      </c>
    </row>
    <row r="430" spans="1:1" x14ac:dyDescent="0.25">
      <c r="A430" s="121">
        <f t="shared" ca="1" si="11"/>
        <v>0</v>
      </c>
    </row>
    <row r="431" spans="1:1" x14ac:dyDescent="0.25">
      <c r="A431" s="121">
        <f t="shared" ca="1" si="11"/>
        <v>0</v>
      </c>
    </row>
    <row r="432" spans="1:1" x14ac:dyDescent="0.25">
      <c r="A432" s="121">
        <f t="shared" ca="1" si="11"/>
        <v>0</v>
      </c>
    </row>
    <row r="433" spans="1:1" x14ac:dyDescent="0.25">
      <c r="A433" s="121">
        <f t="shared" ca="1" si="11"/>
        <v>0</v>
      </c>
    </row>
    <row r="434" spans="1:1" x14ac:dyDescent="0.25">
      <c r="A434" s="121">
        <f t="shared" ref="A434:A497" ca="1" si="12">OFFSET(B434,0,$B$2,1,1)</f>
        <v>0</v>
      </c>
    </row>
    <row r="435" spans="1:1" x14ac:dyDescent="0.25">
      <c r="A435" s="121">
        <f t="shared" ca="1" si="12"/>
        <v>0</v>
      </c>
    </row>
    <row r="436" spans="1:1" x14ac:dyDescent="0.25">
      <c r="A436" s="121">
        <f t="shared" ca="1" si="12"/>
        <v>0</v>
      </c>
    </row>
    <row r="437" spans="1:1" x14ac:dyDescent="0.25">
      <c r="A437" s="121">
        <f t="shared" ca="1" si="12"/>
        <v>0</v>
      </c>
    </row>
    <row r="438" spans="1:1" x14ac:dyDescent="0.25">
      <c r="A438" s="121">
        <f t="shared" ca="1" si="12"/>
        <v>0</v>
      </c>
    </row>
    <row r="439" spans="1:1" x14ac:dyDescent="0.25">
      <c r="A439" s="121">
        <f t="shared" ca="1" si="12"/>
        <v>0</v>
      </c>
    </row>
    <row r="440" spans="1:1" x14ac:dyDescent="0.25">
      <c r="A440" s="121">
        <f t="shared" ca="1" si="12"/>
        <v>0</v>
      </c>
    </row>
    <row r="441" spans="1:1" x14ac:dyDescent="0.25">
      <c r="A441" s="121">
        <f t="shared" ca="1" si="12"/>
        <v>0</v>
      </c>
    </row>
    <row r="442" spans="1:1" x14ac:dyDescent="0.25">
      <c r="A442" s="121">
        <f t="shared" ca="1" si="12"/>
        <v>0</v>
      </c>
    </row>
    <row r="443" spans="1:1" x14ac:dyDescent="0.25">
      <c r="A443" s="121">
        <f t="shared" ca="1" si="12"/>
        <v>0</v>
      </c>
    </row>
    <row r="444" spans="1:1" x14ac:dyDescent="0.25">
      <c r="A444" s="121">
        <f t="shared" ca="1" si="12"/>
        <v>0</v>
      </c>
    </row>
    <row r="445" spans="1:1" x14ac:dyDescent="0.25">
      <c r="A445" s="121">
        <f t="shared" ca="1" si="12"/>
        <v>0</v>
      </c>
    </row>
    <row r="446" spans="1:1" x14ac:dyDescent="0.25">
      <c r="A446" s="121">
        <f t="shared" ca="1" si="12"/>
        <v>0</v>
      </c>
    </row>
    <row r="447" spans="1:1" x14ac:dyDescent="0.25">
      <c r="A447" s="121">
        <f t="shared" ca="1" si="12"/>
        <v>0</v>
      </c>
    </row>
    <row r="448" spans="1:1" x14ac:dyDescent="0.25">
      <c r="A448" s="121">
        <f t="shared" ca="1" si="12"/>
        <v>0</v>
      </c>
    </row>
    <row r="449" spans="1:1" x14ac:dyDescent="0.25">
      <c r="A449" s="121">
        <f t="shared" ca="1" si="12"/>
        <v>0</v>
      </c>
    </row>
    <row r="450" spans="1:1" x14ac:dyDescent="0.25">
      <c r="A450" s="121">
        <f t="shared" ca="1" si="12"/>
        <v>0</v>
      </c>
    </row>
    <row r="451" spans="1:1" x14ac:dyDescent="0.25">
      <c r="A451" s="121">
        <f t="shared" ca="1" si="12"/>
        <v>0</v>
      </c>
    </row>
    <row r="452" spans="1:1" x14ac:dyDescent="0.25">
      <c r="A452" s="121">
        <f t="shared" ca="1" si="12"/>
        <v>0</v>
      </c>
    </row>
    <row r="453" spans="1:1" x14ac:dyDescent="0.25">
      <c r="A453" s="121">
        <f t="shared" ca="1" si="12"/>
        <v>0</v>
      </c>
    </row>
    <row r="454" spans="1:1" x14ac:dyDescent="0.25">
      <c r="A454" s="121">
        <f t="shared" ca="1" si="12"/>
        <v>0</v>
      </c>
    </row>
    <row r="455" spans="1:1" x14ac:dyDescent="0.25">
      <c r="A455" s="121">
        <f t="shared" ca="1" si="12"/>
        <v>0</v>
      </c>
    </row>
    <row r="456" spans="1:1" x14ac:dyDescent="0.25">
      <c r="A456" s="121">
        <f t="shared" ca="1" si="12"/>
        <v>0</v>
      </c>
    </row>
    <row r="457" spans="1:1" x14ac:dyDescent="0.25">
      <c r="A457" s="121">
        <f t="shared" ca="1" si="12"/>
        <v>0</v>
      </c>
    </row>
    <row r="458" spans="1:1" x14ac:dyDescent="0.25">
      <c r="A458" s="121">
        <f t="shared" ca="1" si="12"/>
        <v>0</v>
      </c>
    </row>
    <row r="459" spans="1:1" x14ac:dyDescent="0.25">
      <c r="A459" s="121">
        <f t="shared" ca="1" si="12"/>
        <v>0</v>
      </c>
    </row>
    <row r="460" spans="1:1" x14ac:dyDescent="0.25">
      <c r="A460" s="121">
        <f t="shared" ca="1" si="12"/>
        <v>0</v>
      </c>
    </row>
    <row r="461" spans="1:1" x14ac:dyDescent="0.25">
      <c r="A461" s="121">
        <f t="shared" ca="1" si="12"/>
        <v>0</v>
      </c>
    </row>
    <row r="462" spans="1:1" x14ac:dyDescent="0.25">
      <c r="A462" s="121">
        <f t="shared" ca="1" si="12"/>
        <v>0</v>
      </c>
    </row>
    <row r="463" spans="1:1" x14ac:dyDescent="0.25">
      <c r="A463" s="121">
        <f t="shared" ca="1" si="12"/>
        <v>0</v>
      </c>
    </row>
    <row r="464" spans="1:1" x14ac:dyDescent="0.25">
      <c r="A464" s="121">
        <f t="shared" ca="1" si="12"/>
        <v>0</v>
      </c>
    </row>
    <row r="465" spans="1:1" x14ac:dyDescent="0.25">
      <c r="A465" s="121">
        <f t="shared" ca="1" si="12"/>
        <v>0</v>
      </c>
    </row>
    <row r="466" spans="1:1" x14ac:dyDescent="0.25">
      <c r="A466" s="121">
        <f t="shared" ca="1" si="12"/>
        <v>0</v>
      </c>
    </row>
    <row r="467" spans="1:1" x14ac:dyDescent="0.25">
      <c r="A467" s="121">
        <f t="shared" ca="1" si="12"/>
        <v>0</v>
      </c>
    </row>
    <row r="468" spans="1:1" x14ac:dyDescent="0.25">
      <c r="A468" s="121">
        <f t="shared" ca="1" si="12"/>
        <v>0</v>
      </c>
    </row>
    <row r="469" spans="1:1" x14ac:dyDescent="0.25">
      <c r="A469" s="121">
        <f t="shared" ca="1" si="12"/>
        <v>0</v>
      </c>
    </row>
    <row r="470" spans="1:1" x14ac:dyDescent="0.25">
      <c r="A470" s="121">
        <f t="shared" ca="1" si="12"/>
        <v>0</v>
      </c>
    </row>
    <row r="471" spans="1:1" x14ac:dyDescent="0.25">
      <c r="A471" s="121">
        <f t="shared" ca="1" si="12"/>
        <v>0</v>
      </c>
    </row>
    <row r="472" spans="1:1" x14ac:dyDescent="0.25">
      <c r="A472" s="121">
        <f t="shared" ca="1" si="12"/>
        <v>0</v>
      </c>
    </row>
    <row r="473" spans="1:1" x14ac:dyDescent="0.25">
      <c r="A473" s="121">
        <f t="shared" ca="1" si="12"/>
        <v>0</v>
      </c>
    </row>
    <row r="474" spans="1:1" x14ac:dyDescent="0.25">
      <c r="A474" s="121">
        <f t="shared" ca="1" si="12"/>
        <v>0</v>
      </c>
    </row>
    <row r="475" spans="1:1" x14ac:dyDescent="0.25">
      <c r="A475" s="121">
        <f t="shared" ca="1" si="12"/>
        <v>0</v>
      </c>
    </row>
    <row r="476" spans="1:1" x14ac:dyDescent="0.25">
      <c r="A476" s="121">
        <f t="shared" ca="1" si="12"/>
        <v>0</v>
      </c>
    </row>
    <row r="477" spans="1:1" x14ac:dyDescent="0.25">
      <c r="A477" s="121">
        <f t="shared" ca="1" si="12"/>
        <v>0</v>
      </c>
    </row>
    <row r="478" spans="1:1" x14ac:dyDescent="0.25">
      <c r="A478" s="121">
        <f t="shared" ca="1" si="12"/>
        <v>0</v>
      </c>
    </row>
    <row r="479" spans="1:1" x14ac:dyDescent="0.25">
      <c r="A479" s="121">
        <f t="shared" ca="1" si="12"/>
        <v>0</v>
      </c>
    </row>
    <row r="480" spans="1:1" x14ac:dyDescent="0.25">
      <c r="A480" s="121">
        <f t="shared" ca="1" si="12"/>
        <v>0</v>
      </c>
    </row>
    <row r="481" spans="1:1" x14ac:dyDescent="0.25">
      <c r="A481" s="121">
        <f t="shared" ca="1" si="12"/>
        <v>0</v>
      </c>
    </row>
    <row r="482" spans="1:1" x14ac:dyDescent="0.25">
      <c r="A482" s="121">
        <f t="shared" ca="1" si="12"/>
        <v>0</v>
      </c>
    </row>
    <row r="483" spans="1:1" x14ac:dyDescent="0.25">
      <c r="A483" s="121">
        <f t="shared" ca="1" si="12"/>
        <v>0</v>
      </c>
    </row>
    <row r="484" spans="1:1" x14ac:dyDescent="0.25">
      <c r="A484" s="121">
        <f t="shared" ca="1" si="12"/>
        <v>0</v>
      </c>
    </row>
    <row r="485" spans="1:1" x14ac:dyDescent="0.25">
      <c r="A485" s="121">
        <f t="shared" ca="1" si="12"/>
        <v>0</v>
      </c>
    </row>
    <row r="486" spans="1:1" x14ac:dyDescent="0.25">
      <c r="A486" s="121">
        <f t="shared" ca="1" si="12"/>
        <v>0</v>
      </c>
    </row>
    <row r="487" spans="1:1" x14ac:dyDescent="0.25">
      <c r="A487" s="121">
        <f t="shared" ca="1" si="12"/>
        <v>0</v>
      </c>
    </row>
    <row r="488" spans="1:1" x14ac:dyDescent="0.25">
      <c r="A488" s="121">
        <f t="shared" ca="1" si="12"/>
        <v>0</v>
      </c>
    </row>
    <row r="489" spans="1:1" x14ac:dyDescent="0.25">
      <c r="A489" s="121">
        <f t="shared" ca="1" si="12"/>
        <v>0</v>
      </c>
    </row>
    <row r="490" spans="1:1" x14ac:dyDescent="0.25">
      <c r="A490" s="121">
        <f t="shared" ca="1" si="12"/>
        <v>0</v>
      </c>
    </row>
    <row r="491" spans="1:1" x14ac:dyDescent="0.25">
      <c r="A491" s="121">
        <f t="shared" ca="1" si="12"/>
        <v>0</v>
      </c>
    </row>
    <row r="492" spans="1:1" x14ac:dyDescent="0.25">
      <c r="A492" s="121">
        <f t="shared" ca="1" si="12"/>
        <v>0</v>
      </c>
    </row>
    <row r="493" spans="1:1" x14ac:dyDescent="0.25">
      <c r="A493" s="121">
        <f t="shared" ca="1" si="12"/>
        <v>0</v>
      </c>
    </row>
    <row r="494" spans="1:1" x14ac:dyDescent="0.25">
      <c r="A494" s="121">
        <f t="shared" ca="1" si="12"/>
        <v>0</v>
      </c>
    </row>
    <row r="495" spans="1:1" x14ac:dyDescent="0.25">
      <c r="A495" s="121">
        <f t="shared" ca="1" si="12"/>
        <v>0</v>
      </c>
    </row>
    <row r="496" spans="1:1" x14ac:dyDescent="0.25">
      <c r="A496" s="121">
        <f t="shared" ca="1" si="12"/>
        <v>0</v>
      </c>
    </row>
    <row r="497" spans="1:1" x14ac:dyDescent="0.25">
      <c r="A497" s="121">
        <f t="shared" ca="1" si="12"/>
        <v>0</v>
      </c>
    </row>
    <row r="498" spans="1:1" x14ac:dyDescent="0.25">
      <c r="A498" s="121">
        <f t="shared" ref="A498:A561" ca="1" si="13">OFFSET(B498,0,$B$2,1,1)</f>
        <v>0</v>
      </c>
    </row>
    <row r="499" spans="1:1" x14ac:dyDescent="0.25">
      <c r="A499" s="121">
        <f t="shared" ca="1" si="13"/>
        <v>0</v>
      </c>
    </row>
    <row r="500" spans="1:1" x14ac:dyDescent="0.25">
      <c r="A500" s="121">
        <f t="shared" ca="1" si="13"/>
        <v>0</v>
      </c>
    </row>
    <row r="501" spans="1:1" x14ac:dyDescent="0.25">
      <c r="A501" s="121">
        <f t="shared" ca="1" si="13"/>
        <v>0</v>
      </c>
    </row>
    <row r="502" spans="1:1" x14ac:dyDescent="0.25">
      <c r="A502" s="121">
        <f t="shared" ca="1" si="13"/>
        <v>0</v>
      </c>
    </row>
    <row r="503" spans="1:1" x14ac:dyDescent="0.25">
      <c r="A503" s="121">
        <f t="shared" ca="1" si="13"/>
        <v>0</v>
      </c>
    </row>
    <row r="504" spans="1:1" x14ac:dyDescent="0.25">
      <c r="A504" s="121">
        <f t="shared" ca="1" si="13"/>
        <v>0</v>
      </c>
    </row>
    <row r="505" spans="1:1" x14ac:dyDescent="0.25">
      <c r="A505" s="121">
        <f t="shared" ca="1" si="13"/>
        <v>0</v>
      </c>
    </row>
    <row r="506" spans="1:1" x14ac:dyDescent="0.25">
      <c r="A506" s="121">
        <f t="shared" ca="1" si="13"/>
        <v>0</v>
      </c>
    </row>
    <row r="507" spans="1:1" x14ac:dyDescent="0.25">
      <c r="A507" s="121">
        <f t="shared" ca="1" si="13"/>
        <v>0</v>
      </c>
    </row>
    <row r="508" spans="1:1" x14ac:dyDescent="0.25">
      <c r="A508" s="121">
        <f t="shared" ca="1" si="13"/>
        <v>0</v>
      </c>
    </row>
    <row r="509" spans="1:1" x14ac:dyDescent="0.25">
      <c r="A509" s="121">
        <f t="shared" ca="1" si="13"/>
        <v>0</v>
      </c>
    </row>
    <row r="510" spans="1:1" x14ac:dyDescent="0.25">
      <c r="A510" s="121">
        <f t="shared" ca="1" si="13"/>
        <v>0</v>
      </c>
    </row>
    <row r="511" spans="1:1" x14ac:dyDescent="0.25">
      <c r="A511" s="121">
        <f t="shared" ca="1" si="13"/>
        <v>0</v>
      </c>
    </row>
    <row r="512" spans="1:1" x14ac:dyDescent="0.25">
      <c r="A512" s="121">
        <f t="shared" ca="1" si="13"/>
        <v>0</v>
      </c>
    </row>
    <row r="513" spans="1:1" x14ac:dyDescent="0.25">
      <c r="A513" s="121">
        <f t="shared" ca="1" si="13"/>
        <v>0</v>
      </c>
    </row>
    <row r="514" spans="1:1" x14ac:dyDescent="0.25">
      <c r="A514" s="121">
        <f t="shared" ca="1" si="13"/>
        <v>0</v>
      </c>
    </row>
    <row r="515" spans="1:1" x14ac:dyDescent="0.25">
      <c r="A515" s="121">
        <f t="shared" ca="1" si="13"/>
        <v>0</v>
      </c>
    </row>
    <row r="516" spans="1:1" x14ac:dyDescent="0.25">
      <c r="A516" s="121">
        <f t="shared" ca="1" si="13"/>
        <v>0</v>
      </c>
    </row>
    <row r="517" spans="1:1" x14ac:dyDescent="0.25">
      <c r="A517" s="121">
        <f t="shared" ca="1" si="13"/>
        <v>0</v>
      </c>
    </row>
    <row r="518" spans="1:1" x14ac:dyDescent="0.25">
      <c r="A518" s="121">
        <f t="shared" ca="1" si="13"/>
        <v>0</v>
      </c>
    </row>
    <row r="519" spans="1:1" x14ac:dyDescent="0.25">
      <c r="A519" s="121">
        <f t="shared" ca="1" si="13"/>
        <v>0</v>
      </c>
    </row>
    <row r="520" spans="1:1" x14ac:dyDescent="0.25">
      <c r="A520" s="121">
        <f t="shared" ca="1" si="13"/>
        <v>0</v>
      </c>
    </row>
    <row r="521" spans="1:1" x14ac:dyDescent="0.25">
      <c r="A521" s="121">
        <f t="shared" ca="1" si="13"/>
        <v>0</v>
      </c>
    </row>
    <row r="522" spans="1:1" x14ac:dyDescent="0.25">
      <c r="A522" s="121">
        <f t="shared" ca="1" si="13"/>
        <v>0</v>
      </c>
    </row>
    <row r="523" spans="1:1" x14ac:dyDescent="0.25">
      <c r="A523" s="121">
        <f t="shared" ca="1" si="13"/>
        <v>0</v>
      </c>
    </row>
    <row r="524" spans="1:1" x14ac:dyDescent="0.25">
      <c r="A524" s="121">
        <f t="shared" ca="1" si="13"/>
        <v>0</v>
      </c>
    </row>
    <row r="525" spans="1:1" x14ac:dyDescent="0.25">
      <c r="A525" s="121">
        <f t="shared" ca="1" si="13"/>
        <v>0</v>
      </c>
    </row>
    <row r="526" spans="1:1" x14ac:dyDescent="0.25">
      <c r="A526" s="121">
        <f t="shared" ca="1" si="13"/>
        <v>0</v>
      </c>
    </row>
    <row r="527" spans="1:1" x14ac:dyDescent="0.25">
      <c r="A527" s="121">
        <f t="shared" ca="1" si="13"/>
        <v>0</v>
      </c>
    </row>
    <row r="528" spans="1:1" x14ac:dyDescent="0.25">
      <c r="A528" s="121">
        <f t="shared" ca="1" si="13"/>
        <v>0</v>
      </c>
    </row>
    <row r="529" spans="1:1" x14ac:dyDescent="0.25">
      <c r="A529" s="121">
        <f t="shared" ca="1" si="13"/>
        <v>0</v>
      </c>
    </row>
    <row r="530" spans="1:1" x14ac:dyDescent="0.25">
      <c r="A530" s="121">
        <f t="shared" ca="1" si="13"/>
        <v>0</v>
      </c>
    </row>
    <row r="531" spans="1:1" x14ac:dyDescent="0.25">
      <c r="A531" s="121">
        <f t="shared" ca="1" si="13"/>
        <v>0</v>
      </c>
    </row>
    <row r="532" spans="1:1" x14ac:dyDescent="0.25">
      <c r="A532" s="121">
        <f t="shared" ca="1" si="13"/>
        <v>0</v>
      </c>
    </row>
    <row r="533" spans="1:1" x14ac:dyDescent="0.25">
      <c r="A533" s="121">
        <f t="shared" ca="1" si="13"/>
        <v>0</v>
      </c>
    </row>
    <row r="534" spans="1:1" x14ac:dyDescent="0.25">
      <c r="A534" s="121">
        <f t="shared" ca="1" si="13"/>
        <v>0</v>
      </c>
    </row>
    <row r="535" spans="1:1" x14ac:dyDescent="0.25">
      <c r="A535" s="121">
        <f t="shared" ca="1" si="13"/>
        <v>0</v>
      </c>
    </row>
    <row r="536" spans="1:1" x14ac:dyDescent="0.25">
      <c r="A536" s="121">
        <f t="shared" ca="1" si="13"/>
        <v>0</v>
      </c>
    </row>
    <row r="537" spans="1:1" x14ac:dyDescent="0.25">
      <c r="A537" s="121">
        <f t="shared" ca="1" si="13"/>
        <v>0</v>
      </c>
    </row>
    <row r="538" spans="1:1" x14ac:dyDescent="0.25">
      <c r="A538" s="121">
        <f t="shared" ca="1" si="13"/>
        <v>0</v>
      </c>
    </row>
    <row r="539" spans="1:1" x14ac:dyDescent="0.25">
      <c r="A539" s="121">
        <f t="shared" ca="1" si="13"/>
        <v>0</v>
      </c>
    </row>
    <row r="540" spans="1:1" x14ac:dyDescent="0.25">
      <c r="A540" s="121">
        <f t="shared" ca="1" si="13"/>
        <v>0</v>
      </c>
    </row>
    <row r="541" spans="1:1" x14ac:dyDescent="0.25">
      <c r="A541" s="121">
        <f t="shared" ca="1" si="13"/>
        <v>0</v>
      </c>
    </row>
    <row r="542" spans="1:1" x14ac:dyDescent="0.25">
      <c r="A542" s="121">
        <f t="shared" ca="1" si="13"/>
        <v>0</v>
      </c>
    </row>
    <row r="543" spans="1:1" x14ac:dyDescent="0.25">
      <c r="A543" s="121">
        <f t="shared" ca="1" si="13"/>
        <v>0</v>
      </c>
    </row>
    <row r="544" spans="1:1" x14ac:dyDescent="0.25">
      <c r="A544" s="121">
        <f t="shared" ca="1" si="13"/>
        <v>0</v>
      </c>
    </row>
    <row r="545" spans="1:1" x14ac:dyDescent="0.25">
      <c r="A545" s="121">
        <f t="shared" ca="1" si="13"/>
        <v>0</v>
      </c>
    </row>
    <row r="546" spans="1:1" x14ac:dyDescent="0.25">
      <c r="A546" s="121">
        <f t="shared" ca="1" si="13"/>
        <v>0</v>
      </c>
    </row>
    <row r="547" spans="1:1" x14ac:dyDescent="0.25">
      <c r="A547" s="121">
        <f t="shared" ca="1" si="13"/>
        <v>0</v>
      </c>
    </row>
    <row r="548" spans="1:1" x14ac:dyDescent="0.25">
      <c r="A548" s="121">
        <f t="shared" ca="1" si="13"/>
        <v>0</v>
      </c>
    </row>
    <row r="549" spans="1:1" x14ac:dyDescent="0.25">
      <c r="A549" s="121">
        <f t="shared" ca="1" si="13"/>
        <v>0</v>
      </c>
    </row>
    <row r="550" spans="1:1" x14ac:dyDescent="0.25">
      <c r="A550" s="121">
        <f t="shared" ca="1" si="13"/>
        <v>0</v>
      </c>
    </row>
    <row r="551" spans="1:1" x14ac:dyDescent="0.25">
      <c r="A551" s="121">
        <f t="shared" ca="1" si="13"/>
        <v>0</v>
      </c>
    </row>
    <row r="552" spans="1:1" x14ac:dyDescent="0.25">
      <c r="A552" s="121">
        <f t="shared" ca="1" si="13"/>
        <v>0</v>
      </c>
    </row>
    <row r="553" spans="1:1" x14ac:dyDescent="0.25">
      <c r="A553" s="121">
        <f t="shared" ca="1" si="13"/>
        <v>0</v>
      </c>
    </row>
    <row r="554" spans="1:1" x14ac:dyDescent="0.25">
      <c r="A554" s="121">
        <f t="shared" ca="1" si="13"/>
        <v>0</v>
      </c>
    </row>
    <row r="555" spans="1:1" x14ac:dyDescent="0.25">
      <c r="A555" s="121">
        <f t="shared" ca="1" si="13"/>
        <v>0</v>
      </c>
    </row>
    <row r="556" spans="1:1" x14ac:dyDescent="0.25">
      <c r="A556" s="121">
        <f t="shared" ca="1" si="13"/>
        <v>0</v>
      </c>
    </row>
    <row r="557" spans="1:1" x14ac:dyDescent="0.25">
      <c r="A557" s="121">
        <f t="shared" ca="1" si="13"/>
        <v>0</v>
      </c>
    </row>
    <row r="558" spans="1:1" x14ac:dyDescent="0.25">
      <c r="A558" s="121">
        <f t="shared" ca="1" si="13"/>
        <v>0</v>
      </c>
    </row>
    <row r="559" spans="1:1" x14ac:dyDescent="0.25">
      <c r="A559" s="121">
        <f t="shared" ca="1" si="13"/>
        <v>0</v>
      </c>
    </row>
    <row r="560" spans="1:1" x14ac:dyDescent="0.25">
      <c r="A560" s="121">
        <f t="shared" ca="1" si="13"/>
        <v>0</v>
      </c>
    </row>
    <row r="561" spans="1:1" x14ac:dyDescent="0.25">
      <c r="A561" s="121">
        <f t="shared" ca="1" si="13"/>
        <v>0</v>
      </c>
    </row>
    <row r="562" spans="1:1" x14ac:dyDescent="0.25">
      <c r="A562" s="121">
        <f t="shared" ref="A562:A625" ca="1" si="14">OFFSET(B562,0,$B$2,1,1)</f>
        <v>0</v>
      </c>
    </row>
    <row r="563" spans="1:1" x14ac:dyDescent="0.25">
      <c r="A563" s="121">
        <f t="shared" ca="1" si="14"/>
        <v>0</v>
      </c>
    </row>
    <row r="564" spans="1:1" x14ac:dyDescent="0.25">
      <c r="A564" s="121">
        <f t="shared" ca="1" si="14"/>
        <v>0</v>
      </c>
    </row>
    <row r="565" spans="1:1" x14ac:dyDescent="0.25">
      <c r="A565" s="121">
        <f t="shared" ca="1" si="14"/>
        <v>0</v>
      </c>
    </row>
    <row r="566" spans="1:1" x14ac:dyDescent="0.25">
      <c r="A566" s="121">
        <f t="shared" ca="1" si="14"/>
        <v>0</v>
      </c>
    </row>
    <row r="567" spans="1:1" x14ac:dyDescent="0.25">
      <c r="A567" s="121">
        <f t="shared" ca="1" si="14"/>
        <v>0</v>
      </c>
    </row>
    <row r="568" spans="1:1" x14ac:dyDescent="0.25">
      <c r="A568" s="121">
        <f t="shared" ca="1" si="14"/>
        <v>0</v>
      </c>
    </row>
    <row r="569" spans="1:1" x14ac:dyDescent="0.25">
      <c r="A569" s="121">
        <f t="shared" ca="1" si="14"/>
        <v>0</v>
      </c>
    </row>
    <row r="570" spans="1:1" x14ac:dyDescent="0.25">
      <c r="A570" s="121">
        <f t="shared" ca="1" si="14"/>
        <v>0</v>
      </c>
    </row>
    <row r="571" spans="1:1" x14ac:dyDescent="0.25">
      <c r="A571" s="121">
        <f t="shared" ca="1" si="14"/>
        <v>0</v>
      </c>
    </row>
    <row r="572" spans="1:1" x14ac:dyDescent="0.25">
      <c r="A572" s="121">
        <f t="shared" ca="1" si="14"/>
        <v>0</v>
      </c>
    </row>
    <row r="573" spans="1:1" x14ac:dyDescent="0.25">
      <c r="A573" s="121">
        <f t="shared" ca="1" si="14"/>
        <v>0</v>
      </c>
    </row>
    <row r="574" spans="1:1" x14ac:dyDescent="0.25">
      <c r="A574" s="121">
        <f t="shared" ca="1" si="14"/>
        <v>0</v>
      </c>
    </row>
    <row r="575" spans="1:1" x14ac:dyDescent="0.25">
      <c r="A575" s="121">
        <f t="shared" ca="1" si="14"/>
        <v>0</v>
      </c>
    </row>
    <row r="576" spans="1:1" x14ac:dyDescent="0.25">
      <c r="A576" s="121">
        <f t="shared" ca="1" si="14"/>
        <v>0</v>
      </c>
    </row>
    <row r="577" spans="1:1" x14ac:dyDescent="0.25">
      <c r="A577" s="121">
        <f t="shared" ca="1" si="14"/>
        <v>0</v>
      </c>
    </row>
    <row r="578" spans="1:1" x14ac:dyDescent="0.25">
      <c r="A578" s="121">
        <f t="shared" ca="1" si="14"/>
        <v>0</v>
      </c>
    </row>
    <row r="579" spans="1:1" x14ac:dyDescent="0.25">
      <c r="A579" s="121">
        <f t="shared" ca="1" si="14"/>
        <v>0</v>
      </c>
    </row>
    <row r="580" spans="1:1" x14ac:dyDescent="0.25">
      <c r="A580" s="121">
        <f t="shared" ca="1" si="14"/>
        <v>0</v>
      </c>
    </row>
    <row r="581" spans="1:1" x14ac:dyDescent="0.25">
      <c r="A581" s="121">
        <f t="shared" ca="1" si="14"/>
        <v>0</v>
      </c>
    </row>
    <row r="582" spans="1:1" x14ac:dyDescent="0.25">
      <c r="A582" s="121">
        <f t="shared" ca="1" si="14"/>
        <v>0</v>
      </c>
    </row>
    <row r="583" spans="1:1" x14ac:dyDescent="0.25">
      <c r="A583" s="121">
        <f t="shared" ca="1" si="14"/>
        <v>0</v>
      </c>
    </row>
    <row r="584" spans="1:1" x14ac:dyDescent="0.25">
      <c r="A584" s="121">
        <f t="shared" ca="1" si="14"/>
        <v>0</v>
      </c>
    </row>
    <row r="585" spans="1:1" x14ac:dyDescent="0.25">
      <c r="A585" s="121">
        <f t="shared" ca="1" si="14"/>
        <v>0</v>
      </c>
    </row>
    <row r="586" spans="1:1" x14ac:dyDescent="0.25">
      <c r="A586" s="121">
        <f t="shared" ca="1" si="14"/>
        <v>0</v>
      </c>
    </row>
    <row r="587" spans="1:1" x14ac:dyDescent="0.25">
      <c r="A587" s="121">
        <f t="shared" ca="1" si="14"/>
        <v>0</v>
      </c>
    </row>
    <row r="588" spans="1:1" x14ac:dyDescent="0.25">
      <c r="A588" s="121">
        <f t="shared" ca="1" si="14"/>
        <v>0</v>
      </c>
    </row>
    <row r="589" spans="1:1" x14ac:dyDescent="0.25">
      <c r="A589" s="121">
        <f t="shared" ca="1" si="14"/>
        <v>0</v>
      </c>
    </row>
    <row r="590" spans="1:1" x14ac:dyDescent="0.25">
      <c r="A590" s="121">
        <f t="shared" ca="1" si="14"/>
        <v>0</v>
      </c>
    </row>
    <row r="591" spans="1:1" x14ac:dyDescent="0.25">
      <c r="A591" s="121">
        <f t="shared" ca="1" si="14"/>
        <v>0</v>
      </c>
    </row>
    <row r="592" spans="1:1" x14ac:dyDescent="0.25">
      <c r="A592" s="121">
        <f t="shared" ca="1" si="14"/>
        <v>0</v>
      </c>
    </row>
    <row r="593" spans="1:1" x14ac:dyDescent="0.25">
      <c r="A593" s="121">
        <f t="shared" ca="1" si="14"/>
        <v>0</v>
      </c>
    </row>
    <row r="594" spans="1:1" x14ac:dyDescent="0.25">
      <c r="A594" s="121">
        <f t="shared" ca="1" si="14"/>
        <v>0</v>
      </c>
    </row>
    <row r="595" spans="1:1" x14ac:dyDescent="0.25">
      <c r="A595" s="121">
        <f t="shared" ca="1" si="14"/>
        <v>0</v>
      </c>
    </row>
    <row r="596" spans="1:1" x14ac:dyDescent="0.25">
      <c r="A596" s="121">
        <f t="shared" ca="1" si="14"/>
        <v>0</v>
      </c>
    </row>
    <row r="597" spans="1:1" x14ac:dyDescent="0.25">
      <c r="A597" s="121">
        <f t="shared" ca="1" si="14"/>
        <v>0</v>
      </c>
    </row>
    <row r="598" spans="1:1" x14ac:dyDescent="0.25">
      <c r="A598" s="121">
        <f t="shared" ca="1" si="14"/>
        <v>0</v>
      </c>
    </row>
    <row r="599" spans="1:1" x14ac:dyDescent="0.25">
      <c r="A599" s="121">
        <f t="shared" ca="1" si="14"/>
        <v>0</v>
      </c>
    </row>
    <row r="600" spans="1:1" x14ac:dyDescent="0.25">
      <c r="A600" s="121">
        <f t="shared" ca="1" si="14"/>
        <v>0</v>
      </c>
    </row>
    <row r="601" spans="1:1" x14ac:dyDescent="0.25">
      <c r="A601" s="121">
        <f t="shared" ca="1" si="14"/>
        <v>0</v>
      </c>
    </row>
    <row r="602" spans="1:1" x14ac:dyDescent="0.25">
      <c r="A602" s="121">
        <f t="shared" ca="1" si="14"/>
        <v>0</v>
      </c>
    </row>
    <row r="603" spans="1:1" x14ac:dyDescent="0.25">
      <c r="A603" s="121">
        <f t="shared" ca="1" si="14"/>
        <v>0</v>
      </c>
    </row>
    <row r="604" spans="1:1" x14ac:dyDescent="0.25">
      <c r="A604" s="121">
        <f t="shared" ca="1" si="14"/>
        <v>0</v>
      </c>
    </row>
    <row r="605" spans="1:1" x14ac:dyDescent="0.25">
      <c r="A605" s="121">
        <f t="shared" ca="1" si="14"/>
        <v>0</v>
      </c>
    </row>
    <row r="606" spans="1:1" x14ac:dyDescent="0.25">
      <c r="A606" s="121">
        <f t="shared" ca="1" si="14"/>
        <v>0</v>
      </c>
    </row>
    <row r="607" spans="1:1" x14ac:dyDescent="0.25">
      <c r="A607" s="121">
        <f t="shared" ca="1" si="14"/>
        <v>0</v>
      </c>
    </row>
    <row r="608" spans="1:1" x14ac:dyDescent="0.25">
      <c r="A608" s="121">
        <f t="shared" ca="1" si="14"/>
        <v>0</v>
      </c>
    </row>
    <row r="609" spans="1:1" x14ac:dyDescent="0.25">
      <c r="A609" s="121">
        <f t="shared" ca="1" si="14"/>
        <v>0</v>
      </c>
    </row>
    <row r="610" spans="1:1" x14ac:dyDescent="0.25">
      <c r="A610" s="121">
        <f t="shared" ca="1" si="14"/>
        <v>0</v>
      </c>
    </row>
    <row r="611" spans="1:1" x14ac:dyDescent="0.25">
      <c r="A611" s="121">
        <f t="shared" ca="1" si="14"/>
        <v>0</v>
      </c>
    </row>
    <row r="612" spans="1:1" x14ac:dyDescent="0.25">
      <c r="A612" s="121">
        <f t="shared" ca="1" si="14"/>
        <v>0</v>
      </c>
    </row>
    <row r="613" spans="1:1" x14ac:dyDescent="0.25">
      <c r="A613" s="121">
        <f t="shared" ca="1" si="14"/>
        <v>0</v>
      </c>
    </row>
    <row r="614" spans="1:1" x14ac:dyDescent="0.25">
      <c r="A614" s="121">
        <f t="shared" ca="1" si="14"/>
        <v>0</v>
      </c>
    </row>
    <row r="615" spans="1:1" x14ac:dyDescent="0.25">
      <c r="A615" s="121">
        <f t="shared" ca="1" si="14"/>
        <v>0</v>
      </c>
    </row>
    <row r="616" spans="1:1" x14ac:dyDescent="0.25">
      <c r="A616" s="121">
        <f t="shared" ca="1" si="14"/>
        <v>0</v>
      </c>
    </row>
    <row r="617" spans="1:1" x14ac:dyDescent="0.25">
      <c r="A617" s="121">
        <f t="shared" ca="1" si="14"/>
        <v>0</v>
      </c>
    </row>
    <row r="618" spans="1:1" x14ac:dyDescent="0.25">
      <c r="A618" s="121">
        <f t="shared" ca="1" si="14"/>
        <v>0</v>
      </c>
    </row>
    <row r="619" spans="1:1" x14ac:dyDescent="0.25">
      <c r="A619" s="121">
        <f t="shared" ca="1" si="14"/>
        <v>0</v>
      </c>
    </row>
    <row r="620" spans="1:1" x14ac:dyDescent="0.25">
      <c r="A620" s="121">
        <f t="shared" ca="1" si="14"/>
        <v>0</v>
      </c>
    </row>
    <row r="621" spans="1:1" x14ac:dyDescent="0.25">
      <c r="A621" s="121">
        <f t="shared" ca="1" si="14"/>
        <v>0</v>
      </c>
    </row>
    <row r="622" spans="1:1" x14ac:dyDescent="0.25">
      <c r="A622" s="121">
        <f t="shared" ca="1" si="14"/>
        <v>0</v>
      </c>
    </row>
    <row r="623" spans="1:1" x14ac:dyDescent="0.25">
      <c r="A623" s="121">
        <f t="shared" ca="1" si="14"/>
        <v>0</v>
      </c>
    </row>
    <row r="624" spans="1:1" x14ac:dyDescent="0.25">
      <c r="A624" s="121">
        <f t="shared" ca="1" si="14"/>
        <v>0</v>
      </c>
    </row>
    <row r="625" spans="1:1" x14ac:dyDescent="0.25">
      <c r="A625" s="121">
        <f t="shared" ca="1" si="14"/>
        <v>0</v>
      </c>
    </row>
    <row r="626" spans="1:1" x14ac:dyDescent="0.25">
      <c r="A626" s="121">
        <f t="shared" ref="A626:A689" ca="1" si="15">OFFSET(B626,0,$B$2,1,1)</f>
        <v>0</v>
      </c>
    </row>
    <row r="627" spans="1:1" x14ac:dyDescent="0.25">
      <c r="A627" s="121">
        <f t="shared" ca="1" si="15"/>
        <v>0</v>
      </c>
    </row>
    <row r="628" spans="1:1" x14ac:dyDescent="0.25">
      <c r="A628" s="121">
        <f t="shared" ca="1" si="15"/>
        <v>0</v>
      </c>
    </row>
    <row r="629" spans="1:1" x14ac:dyDescent="0.25">
      <c r="A629" s="121">
        <f t="shared" ca="1" si="15"/>
        <v>0</v>
      </c>
    </row>
    <row r="630" spans="1:1" x14ac:dyDescent="0.25">
      <c r="A630" s="121">
        <f t="shared" ca="1" si="15"/>
        <v>0</v>
      </c>
    </row>
    <row r="631" spans="1:1" x14ac:dyDescent="0.25">
      <c r="A631" s="121">
        <f t="shared" ca="1" si="15"/>
        <v>0</v>
      </c>
    </row>
    <row r="632" spans="1:1" x14ac:dyDescent="0.25">
      <c r="A632" s="121">
        <f t="shared" ca="1" si="15"/>
        <v>0</v>
      </c>
    </row>
    <row r="633" spans="1:1" x14ac:dyDescent="0.25">
      <c r="A633" s="121">
        <f t="shared" ca="1" si="15"/>
        <v>0</v>
      </c>
    </row>
    <row r="634" spans="1:1" x14ac:dyDescent="0.25">
      <c r="A634" s="121">
        <f t="shared" ca="1" si="15"/>
        <v>0</v>
      </c>
    </row>
    <row r="635" spans="1:1" x14ac:dyDescent="0.25">
      <c r="A635" s="121">
        <f t="shared" ca="1" si="15"/>
        <v>0</v>
      </c>
    </row>
    <row r="636" spans="1:1" x14ac:dyDescent="0.25">
      <c r="A636" s="121">
        <f t="shared" ca="1" si="15"/>
        <v>0</v>
      </c>
    </row>
    <row r="637" spans="1:1" x14ac:dyDescent="0.25">
      <c r="A637" s="121">
        <f t="shared" ca="1" si="15"/>
        <v>0</v>
      </c>
    </row>
    <row r="638" spans="1:1" x14ac:dyDescent="0.25">
      <c r="A638" s="121">
        <f t="shared" ca="1" si="15"/>
        <v>0</v>
      </c>
    </row>
    <row r="639" spans="1:1" x14ac:dyDescent="0.25">
      <c r="A639" s="121">
        <f t="shared" ca="1" si="15"/>
        <v>0</v>
      </c>
    </row>
    <row r="640" spans="1:1" x14ac:dyDescent="0.25">
      <c r="A640" s="121">
        <f t="shared" ca="1" si="15"/>
        <v>0</v>
      </c>
    </row>
    <row r="641" spans="1:1" x14ac:dyDescent="0.25">
      <c r="A641" s="121">
        <f t="shared" ca="1" si="15"/>
        <v>0</v>
      </c>
    </row>
    <row r="642" spans="1:1" x14ac:dyDescent="0.25">
      <c r="A642" s="121">
        <f t="shared" ca="1" si="15"/>
        <v>0</v>
      </c>
    </row>
    <row r="643" spans="1:1" x14ac:dyDescent="0.25">
      <c r="A643" s="121">
        <f t="shared" ca="1" si="15"/>
        <v>0</v>
      </c>
    </row>
    <row r="644" spans="1:1" x14ac:dyDescent="0.25">
      <c r="A644" s="121">
        <f t="shared" ca="1" si="15"/>
        <v>0</v>
      </c>
    </row>
    <row r="645" spans="1:1" x14ac:dyDescent="0.25">
      <c r="A645" s="121">
        <f t="shared" ca="1" si="15"/>
        <v>0</v>
      </c>
    </row>
    <row r="646" spans="1:1" x14ac:dyDescent="0.25">
      <c r="A646" s="121">
        <f t="shared" ca="1" si="15"/>
        <v>0</v>
      </c>
    </row>
    <row r="647" spans="1:1" x14ac:dyDescent="0.25">
      <c r="A647" s="121">
        <f t="shared" ca="1" si="15"/>
        <v>0</v>
      </c>
    </row>
    <row r="648" spans="1:1" x14ac:dyDescent="0.25">
      <c r="A648" s="121">
        <f t="shared" ca="1" si="15"/>
        <v>0</v>
      </c>
    </row>
    <row r="649" spans="1:1" x14ac:dyDescent="0.25">
      <c r="A649" s="121">
        <f t="shared" ca="1" si="15"/>
        <v>0</v>
      </c>
    </row>
    <row r="650" spans="1:1" x14ac:dyDescent="0.25">
      <c r="A650" s="121">
        <f t="shared" ca="1" si="15"/>
        <v>0</v>
      </c>
    </row>
    <row r="651" spans="1:1" x14ac:dyDescent="0.25">
      <c r="A651" s="121">
        <f t="shared" ca="1" si="15"/>
        <v>0</v>
      </c>
    </row>
    <row r="652" spans="1:1" x14ac:dyDescent="0.25">
      <c r="A652" s="121">
        <f t="shared" ca="1" si="15"/>
        <v>0</v>
      </c>
    </row>
    <row r="653" spans="1:1" x14ac:dyDescent="0.25">
      <c r="A653" s="121">
        <f t="shared" ca="1" si="15"/>
        <v>0</v>
      </c>
    </row>
    <row r="654" spans="1:1" x14ac:dyDescent="0.25">
      <c r="A654" s="121">
        <f t="shared" ca="1" si="15"/>
        <v>0</v>
      </c>
    </row>
    <row r="655" spans="1:1" x14ac:dyDescent="0.25">
      <c r="A655" s="121">
        <f t="shared" ca="1" si="15"/>
        <v>0</v>
      </c>
    </row>
    <row r="656" spans="1:1" x14ac:dyDescent="0.25">
      <c r="A656" s="121">
        <f t="shared" ca="1" si="15"/>
        <v>0</v>
      </c>
    </row>
    <row r="657" spans="1:1" x14ac:dyDescent="0.25">
      <c r="A657" s="121">
        <f t="shared" ca="1" si="15"/>
        <v>0</v>
      </c>
    </row>
    <row r="658" spans="1:1" x14ac:dyDescent="0.25">
      <c r="A658" s="121">
        <f t="shared" ca="1" si="15"/>
        <v>0</v>
      </c>
    </row>
    <row r="659" spans="1:1" x14ac:dyDescent="0.25">
      <c r="A659" s="121">
        <f t="shared" ca="1" si="15"/>
        <v>0</v>
      </c>
    </row>
    <row r="660" spans="1:1" x14ac:dyDescent="0.25">
      <c r="A660" s="121">
        <f t="shared" ca="1" si="15"/>
        <v>0</v>
      </c>
    </row>
    <row r="661" spans="1:1" x14ac:dyDescent="0.25">
      <c r="A661" s="121">
        <f t="shared" ca="1" si="15"/>
        <v>0</v>
      </c>
    </row>
    <row r="662" spans="1:1" x14ac:dyDescent="0.25">
      <c r="A662" s="121">
        <f t="shared" ca="1" si="15"/>
        <v>0</v>
      </c>
    </row>
    <row r="663" spans="1:1" x14ac:dyDescent="0.25">
      <c r="A663" s="121">
        <f t="shared" ca="1" si="15"/>
        <v>0</v>
      </c>
    </row>
    <row r="664" spans="1:1" x14ac:dyDescent="0.25">
      <c r="A664" s="121">
        <f t="shared" ca="1" si="15"/>
        <v>0</v>
      </c>
    </row>
    <row r="665" spans="1:1" x14ac:dyDescent="0.25">
      <c r="A665" s="121">
        <f t="shared" ca="1" si="15"/>
        <v>0</v>
      </c>
    </row>
    <row r="666" spans="1:1" x14ac:dyDescent="0.25">
      <c r="A666" s="121">
        <f t="shared" ca="1" si="15"/>
        <v>0</v>
      </c>
    </row>
    <row r="667" spans="1:1" x14ac:dyDescent="0.25">
      <c r="A667" s="121">
        <f t="shared" ca="1" si="15"/>
        <v>0</v>
      </c>
    </row>
    <row r="668" spans="1:1" x14ac:dyDescent="0.25">
      <c r="A668" s="121">
        <f t="shared" ca="1" si="15"/>
        <v>0</v>
      </c>
    </row>
    <row r="669" spans="1:1" x14ac:dyDescent="0.25">
      <c r="A669" s="121">
        <f t="shared" ca="1" si="15"/>
        <v>0</v>
      </c>
    </row>
    <row r="670" spans="1:1" x14ac:dyDescent="0.25">
      <c r="A670" s="121">
        <f t="shared" ca="1" si="15"/>
        <v>0</v>
      </c>
    </row>
    <row r="671" spans="1:1" x14ac:dyDescent="0.25">
      <c r="A671" s="121">
        <f t="shared" ca="1" si="15"/>
        <v>0</v>
      </c>
    </row>
    <row r="672" spans="1:1" x14ac:dyDescent="0.25">
      <c r="A672" s="121">
        <f t="shared" ca="1" si="15"/>
        <v>0</v>
      </c>
    </row>
    <row r="673" spans="1:1" x14ac:dyDescent="0.25">
      <c r="A673" s="121">
        <f t="shared" ca="1" si="15"/>
        <v>0</v>
      </c>
    </row>
    <row r="674" spans="1:1" x14ac:dyDescent="0.25">
      <c r="A674" s="121">
        <f t="shared" ca="1" si="15"/>
        <v>0</v>
      </c>
    </row>
    <row r="675" spans="1:1" x14ac:dyDescent="0.25">
      <c r="A675" s="121">
        <f t="shared" ca="1" si="15"/>
        <v>0</v>
      </c>
    </row>
    <row r="676" spans="1:1" x14ac:dyDescent="0.25">
      <c r="A676" s="121">
        <f t="shared" ca="1" si="15"/>
        <v>0</v>
      </c>
    </row>
    <row r="677" spans="1:1" x14ac:dyDescent="0.25">
      <c r="A677" s="121">
        <f t="shared" ca="1" si="15"/>
        <v>0</v>
      </c>
    </row>
    <row r="678" spans="1:1" x14ac:dyDescent="0.25">
      <c r="A678" s="121">
        <f t="shared" ca="1" si="15"/>
        <v>0</v>
      </c>
    </row>
    <row r="679" spans="1:1" x14ac:dyDescent="0.25">
      <c r="A679" s="121">
        <f t="shared" ca="1" si="15"/>
        <v>0</v>
      </c>
    </row>
    <row r="680" spans="1:1" x14ac:dyDescent="0.25">
      <c r="A680" s="121">
        <f t="shared" ca="1" si="15"/>
        <v>0</v>
      </c>
    </row>
    <row r="681" spans="1:1" x14ac:dyDescent="0.25">
      <c r="A681" s="121">
        <f t="shared" ca="1" si="15"/>
        <v>0</v>
      </c>
    </row>
    <row r="682" spans="1:1" x14ac:dyDescent="0.25">
      <c r="A682" s="121">
        <f t="shared" ca="1" si="15"/>
        <v>0</v>
      </c>
    </row>
    <row r="683" spans="1:1" x14ac:dyDescent="0.25">
      <c r="A683" s="121">
        <f t="shared" ca="1" si="15"/>
        <v>0</v>
      </c>
    </row>
    <row r="684" spans="1:1" x14ac:dyDescent="0.25">
      <c r="A684" s="121">
        <f t="shared" ca="1" si="15"/>
        <v>0</v>
      </c>
    </row>
    <row r="685" spans="1:1" x14ac:dyDescent="0.25">
      <c r="A685" s="121">
        <f t="shared" ca="1" si="15"/>
        <v>0</v>
      </c>
    </row>
    <row r="686" spans="1:1" x14ac:dyDescent="0.25">
      <c r="A686" s="121">
        <f t="shared" ca="1" si="15"/>
        <v>0</v>
      </c>
    </row>
    <row r="687" spans="1:1" x14ac:dyDescent="0.25">
      <c r="A687" s="121">
        <f t="shared" ca="1" si="15"/>
        <v>0</v>
      </c>
    </row>
    <row r="688" spans="1:1" x14ac:dyDescent="0.25">
      <c r="A688" s="121">
        <f t="shared" ca="1" si="15"/>
        <v>0</v>
      </c>
    </row>
    <row r="689" spans="1:1" x14ac:dyDescent="0.25">
      <c r="A689" s="121">
        <f t="shared" ca="1" si="15"/>
        <v>0</v>
      </c>
    </row>
    <row r="690" spans="1:1" x14ac:dyDescent="0.25">
      <c r="A690" s="121">
        <f t="shared" ref="A690:A753" ca="1" si="16">OFFSET(B690,0,$B$2,1,1)</f>
        <v>0</v>
      </c>
    </row>
    <row r="691" spans="1:1" x14ac:dyDescent="0.25">
      <c r="A691" s="121">
        <f t="shared" ca="1" si="16"/>
        <v>0</v>
      </c>
    </row>
    <row r="692" spans="1:1" x14ac:dyDescent="0.25">
      <c r="A692" s="121">
        <f t="shared" ca="1" si="16"/>
        <v>0</v>
      </c>
    </row>
    <row r="693" spans="1:1" x14ac:dyDescent="0.25">
      <c r="A693" s="121">
        <f t="shared" ca="1" si="16"/>
        <v>0</v>
      </c>
    </row>
    <row r="694" spans="1:1" x14ac:dyDescent="0.25">
      <c r="A694" s="121">
        <f t="shared" ca="1" si="16"/>
        <v>0</v>
      </c>
    </row>
    <row r="695" spans="1:1" x14ac:dyDescent="0.25">
      <c r="A695" s="121">
        <f t="shared" ca="1" si="16"/>
        <v>0</v>
      </c>
    </row>
    <row r="696" spans="1:1" x14ac:dyDescent="0.25">
      <c r="A696" s="121">
        <f t="shared" ca="1" si="16"/>
        <v>0</v>
      </c>
    </row>
    <row r="697" spans="1:1" x14ac:dyDescent="0.25">
      <c r="A697" s="121">
        <f t="shared" ca="1" si="16"/>
        <v>0</v>
      </c>
    </row>
    <row r="698" spans="1:1" x14ac:dyDescent="0.25">
      <c r="A698" s="121">
        <f t="shared" ca="1" si="16"/>
        <v>0</v>
      </c>
    </row>
    <row r="699" spans="1:1" x14ac:dyDescent="0.25">
      <c r="A699" s="121">
        <f t="shared" ca="1" si="16"/>
        <v>0</v>
      </c>
    </row>
    <row r="700" spans="1:1" x14ac:dyDescent="0.25">
      <c r="A700" s="121">
        <f t="shared" ca="1" si="16"/>
        <v>0</v>
      </c>
    </row>
    <row r="701" spans="1:1" x14ac:dyDescent="0.25">
      <c r="A701" s="121">
        <f t="shared" ca="1" si="16"/>
        <v>0</v>
      </c>
    </row>
    <row r="702" spans="1:1" x14ac:dyDescent="0.25">
      <c r="A702" s="121">
        <f t="shared" ca="1" si="16"/>
        <v>0</v>
      </c>
    </row>
    <row r="703" spans="1:1" x14ac:dyDescent="0.25">
      <c r="A703" s="121">
        <f t="shared" ca="1" si="16"/>
        <v>0</v>
      </c>
    </row>
    <row r="704" spans="1:1" x14ac:dyDescent="0.25">
      <c r="A704" s="121">
        <f t="shared" ca="1" si="16"/>
        <v>0</v>
      </c>
    </row>
    <row r="705" spans="1:1" x14ac:dyDescent="0.25">
      <c r="A705" s="121">
        <f t="shared" ca="1" si="16"/>
        <v>0</v>
      </c>
    </row>
    <row r="706" spans="1:1" x14ac:dyDescent="0.25">
      <c r="A706" s="121">
        <f t="shared" ca="1" si="16"/>
        <v>0</v>
      </c>
    </row>
    <row r="707" spans="1:1" x14ac:dyDescent="0.25">
      <c r="A707" s="121">
        <f t="shared" ca="1" si="16"/>
        <v>0</v>
      </c>
    </row>
    <row r="708" spans="1:1" x14ac:dyDescent="0.25">
      <c r="A708" s="121">
        <f t="shared" ca="1" si="16"/>
        <v>0</v>
      </c>
    </row>
    <row r="709" spans="1:1" x14ac:dyDescent="0.25">
      <c r="A709" s="121">
        <f t="shared" ca="1" si="16"/>
        <v>0</v>
      </c>
    </row>
    <row r="710" spans="1:1" x14ac:dyDescent="0.25">
      <c r="A710" s="121">
        <f t="shared" ca="1" si="16"/>
        <v>0</v>
      </c>
    </row>
    <row r="711" spans="1:1" x14ac:dyDescent="0.25">
      <c r="A711" s="121">
        <f t="shared" ca="1" si="16"/>
        <v>0</v>
      </c>
    </row>
    <row r="712" spans="1:1" x14ac:dyDescent="0.25">
      <c r="A712" s="121">
        <f t="shared" ca="1" si="16"/>
        <v>0</v>
      </c>
    </row>
    <row r="713" spans="1:1" x14ac:dyDescent="0.25">
      <c r="A713" s="121">
        <f t="shared" ca="1" si="16"/>
        <v>0</v>
      </c>
    </row>
    <row r="714" spans="1:1" x14ac:dyDescent="0.25">
      <c r="A714" s="121">
        <f t="shared" ca="1" si="16"/>
        <v>0</v>
      </c>
    </row>
    <row r="715" spans="1:1" x14ac:dyDescent="0.25">
      <c r="A715" s="121">
        <f t="shared" ca="1" si="16"/>
        <v>0</v>
      </c>
    </row>
    <row r="716" spans="1:1" x14ac:dyDescent="0.25">
      <c r="A716" s="121">
        <f t="shared" ca="1" si="16"/>
        <v>0</v>
      </c>
    </row>
    <row r="717" spans="1:1" x14ac:dyDescent="0.25">
      <c r="A717" s="121">
        <f t="shared" ca="1" si="16"/>
        <v>0</v>
      </c>
    </row>
    <row r="718" spans="1:1" x14ac:dyDescent="0.25">
      <c r="A718" s="121">
        <f t="shared" ca="1" si="16"/>
        <v>0</v>
      </c>
    </row>
    <row r="719" spans="1:1" x14ac:dyDescent="0.25">
      <c r="A719" s="121">
        <f t="shared" ca="1" si="16"/>
        <v>0</v>
      </c>
    </row>
    <row r="720" spans="1:1" x14ac:dyDescent="0.25">
      <c r="A720" s="121">
        <f t="shared" ca="1" si="16"/>
        <v>0</v>
      </c>
    </row>
    <row r="721" spans="1:1" x14ac:dyDescent="0.25">
      <c r="A721" s="121">
        <f t="shared" ca="1" si="16"/>
        <v>0</v>
      </c>
    </row>
    <row r="722" spans="1:1" x14ac:dyDescent="0.25">
      <c r="A722" s="121">
        <f t="shared" ca="1" si="16"/>
        <v>0</v>
      </c>
    </row>
    <row r="723" spans="1:1" x14ac:dyDescent="0.25">
      <c r="A723" s="121">
        <f t="shared" ca="1" si="16"/>
        <v>0</v>
      </c>
    </row>
    <row r="724" spans="1:1" x14ac:dyDescent="0.25">
      <c r="A724" s="121">
        <f t="shared" ca="1" si="16"/>
        <v>0</v>
      </c>
    </row>
    <row r="725" spans="1:1" x14ac:dyDescent="0.25">
      <c r="A725" s="121">
        <f t="shared" ca="1" si="16"/>
        <v>0</v>
      </c>
    </row>
    <row r="726" spans="1:1" x14ac:dyDescent="0.25">
      <c r="A726" s="121">
        <f t="shared" ca="1" si="16"/>
        <v>0</v>
      </c>
    </row>
    <row r="727" spans="1:1" x14ac:dyDescent="0.25">
      <c r="A727" s="121">
        <f t="shared" ca="1" si="16"/>
        <v>0</v>
      </c>
    </row>
    <row r="728" spans="1:1" x14ac:dyDescent="0.25">
      <c r="A728" s="121">
        <f t="shared" ca="1" si="16"/>
        <v>0</v>
      </c>
    </row>
    <row r="729" spans="1:1" x14ac:dyDescent="0.25">
      <c r="A729" s="121">
        <f t="shared" ca="1" si="16"/>
        <v>0</v>
      </c>
    </row>
    <row r="730" spans="1:1" x14ac:dyDescent="0.25">
      <c r="A730" s="121">
        <f t="shared" ca="1" si="16"/>
        <v>0</v>
      </c>
    </row>
    <row r="731" spans="1:1" x14ac:dyDescent="0.25">
      <c r="A731" s="121">
        <f t="shared" ca="1" si="16"/>
        <v>0</v>
      </c>
    </row>
    <row r="732" spans="1:1" x14ac:dyDescent="0.25">
      <c r="A732" s="121">
        <f t="shared" ca="1" si="16"/>
        <v>0</v>
      </c>
    </row>
    <row r="733" spans="1:1" x14ac:dyDescent="0.25">
      <c r="A733" s="121">
        <f t="shared" ca="1" si="16"/>
        <v>0</v>
      </c>
    </row>
    <row r="734" spans="1:1" x14ac:dyDescent="0.25">
      <c r="A734" s="121">
        <f t="shared" ca="1" si="16"/>
        <v>0</v>
      </c>
    </row>
    <row r="735" spans="1:1" x14ac:dyDescent="0.25">
      <c r="A735" s="121">
        <f t="shared" ca="1" si="16"/>
        <v>0</v>
      </c>
    </row>
    <row r="736" spans="1:1" x14ac:dyDescent="0.25">
      <c r="A736" s="121">
        <f t="shared" ca="1" si="16"/>
        <v>0</v>
      </c>
    </row>
    <row r="737" spans="1:1" x14ac:dyDescent="0.25">
      <c r="A737" s="121">
        <f t="shared" ca="1" si="16"/>
        <v>0</v>
      </c>
    </row>
    <row r="738" spans="1:1" x14ac:dyDescent="0.25">
      <c r="A738" s="121">
        <f t="shared" ca="1" si="16"/>
        <v>0</v>
      </c>
    </row>
    <row r="739" spans="1:1" x14ac:dyDescent="0.25">
      <c r="A739" s="121">
        <f t="shared" ca="1" si="16"/>
        <v>0</v>
      </c>
    </row>
    <row r="740" spans="1:1" x14ac:dyDescent="0.25">
      <c r="A740" s="121">
        <f t="shared" ca="1" si="16"/>
        <v>0</v>
      </c>
    </row>
    <row r="741" spans="1:1" x14ac:dyDescent="0.25">
      <c r="A741" s="121">
        <f t="shared" ca="1" si="16"/>
        <v>0</v>
      </c>
    </row>
    <row r="742" spans="1:1" x14ac:dyDescent="0.25">
      <c r="A742" s="121">
        <f t="shared" ca="1" si="16"/>
        <v>0</v>
      </c>
    </row>
    <row r="743" spans="1:1" x14ac:dyDescent="0.25">
      <c r="A743" s="121">
        <f t="shared" ca="1" si="16"/>
        <v>0</v>
      </c>
    </row>
    <row r="744" spans="1:1" x14ac:dyDescent="0.25">
      <c r="A744" s="121">
        <f t="shared" ca="1" si="16"/>
        <v>0</v>
      </c>
    </row>
    <row r="745" spans="1:1" x14ac:dyDescent="0.25">
      <c r="A745" s="121">
        <f t="shared" ca="1" si="16"/>
        <v>0</v>
      </c>
    </row>
    <row r="746" spans="1:1" x14ac:dyDescent="0.25">
      <c r="A746" s="121">
        <f t="shared" ca="1" si="16"/>
        <v>0</v>
      </c>
    </row>
    <row r="747" spans="1:1" x14ac:dyDescent="0.25">
      <c r="A747" s="121">
        <f t="shared" ca="1" si="16"/>
        <v>0</v>
      </c>
    </row>
    <row r="748" spans="1:1" x14ac:dyDescent="0.25">
      <c r="A748" s="121">
        <f t="shared" ca="1" si="16"/>
        <v>0</v>
      </c>
    </row>
    <row r="749" spans="1:1" x14ac:dyDescent="0.25">
      <c r="A749" s="121">
        <f t="shared" ca="1" si="16"/>
        <v>0</v>
      </c>
    </row>
    <row r="750" spans="1:1" x14ac:dyDescent="0.25">
      <c r="A750" s="121">
        <f t="shared" ca="1" si="16"/>
        <v>0</v>
      </c>
    </row>
    <row r="751" spans="1:1" x14ac:dyDescent="0.25">
      <c r="A751" s="121">
        <f t="shared" ca="1" si="16"/>
        <v>0</v>
      </c>
    </row>
    <row r="752" spans="1:1" x14ac:dyDescent="0.25">
      <c r="A752" s="121">
        <f t="shared" ca="1" si="16"/>
        <v>0</v>
      </c>
    </row>
    <row r="753" spans="1:1" x14ac:dyDescent="0.25">
      <c r="A753" s="121">
        <f t="shared" ca="1" si="16"/>
        <v>0</v>
      </c>
    </row>
    <row r="754" spans="1:1" x14ac:dyDescent="0.25">
      <c r="A754" s="121">
        <f t="shared" ref="A754:A817" ca="1" si="17">OFFSET(B754,0,$B$2,1,1)</f>
        <v>0</v>
      </c>
    </row>
    <row r="755" spans="1:1" x14ac:dyDescent="0.25">
      <c r="A755" s="121">
        <f t="shared" ca="1" si="17"/>
        <v>0</v>
      </c>
    </row>
    <row r="756" spans="1:1" x14ac:dyDescent="0.25">
      <c r="A756" s="121">
        <f t="shared" ca="1" si="17"/>
        <v>0</v>
      </c>
    </row>
    <row r="757" spans="1:1" x14ac:dyDescent="0.25">
      <c r="A757" s="121">
        <f t="shared" ca="1" si="17"/>
        <v>0</v>
      </c>
    </row>
    <row r="758" spans="1:1" x14ac:dyDescent="0.25">
      <c r="A758" s="121">
        <f t="shared" ca="1" si="17"/>
        <v>0</v>
      </c>
    </row>
    <row r="759" spans="1:1" x14ac:dyDescent="0.25">
      <c r="A759" s="121">
        <f t="shared" ca="1" si="17"/>
        <v>0</v>
      </c>
    </row>
    <row r="760" spans="1:1" x14ac:dyDescent="0.25">
      <c r="A760" s="121">
        <f t="shared" ca="1" si="17"/>
        <v>0</v>
      </c>
    </row>
    <row r="761" spans="1:1" x14ac:dyDescent="0.25">
      <c r="A761" s="121">
        <f t="shared" ca="1" si="17"/>
        <v>0</v>
      </c>
    </row>
    <row r="762" spans="1:1" x14ac:dyDescent="0.25">
      <c r="A762" s="121">
        <f t="shared" ca="1" si="17"/>
        <v>0</v>
      </c>
    </row>
    <row r="763" spans="1:1" x14ac:dyDescent="0.25">
      <c r="A763" s="121">
        <f t="shared" ca="1" si="17"/>
        <v>0</v>
      </c>
    </row>
    <row r="764" spans="1:1" x14ac:dyDescent="0.25">
      <c r="A764" s="121">
        <f t="shared" ca="1" si="17"/>
        <v>0</v>
      </c>
    </row>
    <row r="765" spans="1:1" x14ac:dyDescent="0.25">
      <c r="A765" s="121">
        <f t="shared" ca="1" si="17"/>
        <v>0</v>
      </c>
    </row>
    <row r="766" spans="1:1" x14ac:dyDescent="0.25">
      <c r="A766" s="121">
        <f t="shared" ca="1" si="17"/>
        <v>0</v>
      </c>
    </row>
    <row r="767" spans="1:1" x14ac:dyDescent="0.25">
      <c r="A767" s="121">
        <f t="shared" ca="1" si="17"/>
        <v>0</v>
      </c>
    </row>
    <row r="768" spans="1:1" x14ac:dyDescent="0.25">
      <c r="A768" s="121">
        <f t="shared" ca="1" si="17"/>
        <v>0</v>
      </c>
    </row>
    <row r="769" spans="1:1" x14ac:dyDescent="0.25">
      <c r="A769" s="121">
        <f t="shared" ca="1" si="17"/>
        <v>0</v>
      </c>
    </row>
    <row r="770" spans="1:1" x14ac:dyDescent="0.25">
      <c r="A770" s="121">
        <f t="shared" ca="1" si="17"/>
        <v>0</v>
      </c>
    </row>
    <row r="771" spans="1:1" x14ac:dyDescent="0.25">
      <c r="A771" s="121">
        <f t="shared" ca="1" si="17"/>
        <v>0</v>
      </c>
    </row>
    <row r="772" spans="1:1" x14ac:dyDescent="0.25">
      <c r="A772" s="121">
        <f t="shared" ca="1" si="17"/>
        <v>0</v>
      </c>
    </row>
    <row r="773" spans="1:1" x14ac:dyDescent="0.25">
      <c r="A773" s="121">
        <f t="shared" ca="1" si="17"/>
        <v>0</v>
      </c>
    </row>
    <row r="774" spans="1:1" x14ac:dyDescent="0.25">
      <c r="A774" s="121">
        <f t="shared" ca="1" si="17"/>
        <v>0</v>
      </c>
    </row>
    <row r="775" spans="1:1" x14ac:dyDescent="0.25">
      <c r="A775" s="121">
        <f t="shared" ca="1" si="17"/>
        <v>0</v>
      </c>
    </row>
    <row r="776" spans="1:1" x14ac:dyDescent="0.25">
      <c r="A776" s="121">
        <f t="shared" ca="1" si="17"/>
        <v>0</v>
      </c>
    </row>
    <row r="777" spans="1:1" x14ac:dyDescent="0.25">
      <c r="A777" s="121">
        <f t="shared" ca="1" si="17"/>
        <v>0</v>
      </c>
    </row>
    <row r="778" spans="1:1" x14ac:dyDescent="0.25">
      <c r="A778" s="121">
        <f t="shared" ca="1" si="17"/>
        <v>0</v>
      </c>
    </row>
    <row r="779" spans="1:1" x14ac:dyDescent="0.25">
      <c r="A779" s="121">
        <f t="shared" ca="1" si="17"/>
        <v>0</v>
      </c>
    </row>
    <row r="780" spans="1:1" x14ac:dyDescent="0.25">
      <c r="A780" s="121">
        <f t="shared" ca="1" si="17"/>
        <v>0</v>
      </c>
    </row>
    <row r="781" spans="1:1" x14ac:dyDescent="0.25">
      <c r="A781" s="121">
        <f t="shared" ca="1" si="17"/>
        <v>0</v>
      </c>
    </row>
    <row r="782" spans="1:1" x14ac:dyDescent="0.25">
      <c r="A782" s="121">
        <f t="shared" ca="1" si="17"/>
        <v>0</v>
      </c>
    </row>
    <row r="783" spans="1:1" x14ac:dyDescent="0.25">
      <c r="A783" s="121">
        <f t="shared" ca="1" si="17"/>
        <v>0</v>
      </c>
    </row>
    <row r="784" spans="1:1" x14ac:dyDescent="0.25">
      <c r="A784" s="121">
        <f t="shared" ca="1" si="17"/>
        <v>0</v>
      </c>
    </row>
    <row r="785" spans="1:1" x14ac:dyDescent="0.25">
      <c r="A785" s="121">
        <f t="shared" ca="1" si="17"/>
        <v>0</v>
      </c>
    </row>
    <row r="786" spans="1:1" x14ac:dyDescent="0.25">
      <c r="A786" s="121">
        <f t="shared" ca="1" si="17"/>
        <v>0</v>
      </c>
    </row>
    <row r="787" spans="1:1" x14ac:dyDescent="0.25">
      <c r="A787" s="121">
        <f t="shared" ca="1" si="17"/>
        <v>0</v>
      </c>
    </row>
    <row r="788" spans="1:1" x14ac:dyDescent="0.25">
      <c r="A788" s="121">
        <f t="shared" ca="1" si="17"/>
        <v>0</v>
      </c>
    </row>
    <row r="789" spans="1:1" x14ac:dyDescent="0.25">
      <c r="A789" s="121">
        <f t="shared" ca="1" si="17"/>
        <v>0</v>
      </c>
    </row>
    <row r="790" spans="1:1" x14ac:dyDescent="0.25">
      <c r="A790" s="121">
        <f t="shared" ca="1" si="17"/>
        <v>0</v>
      </c>
    </row>
    <row r="791" spans="1:1" x14ac:dyDescent="0.25">
      <c r="A791" s="121">
        <f t="shared" ca="1" si="17"/>
        <v>0</v>
      </c>
    </row>
    <row r="792" spans="1:1" x14ac:dyDescent="0.25">
      <c r="A792" s="121">
        <f t="shared" ca="1" si="17"/>
        <v>0</v>
      </c>
    </row>
    <row r="793" spans="1:1" x14ac:dyDescent="0.25">
      <c r="A793" s="121">
        <f t="shared" ca="1" si="17"/>
        <v>0</v>
      </c>
    </row>
    <row r="794" spans="1:1" x14ac:dyDescent="0.25">
      <c r="A794" s="121">
        <f t="shared" ca="1" si="17"/>
        <v>0</v>
      </c>
    </row>
    <row r="795" spans="1:1" x14ac:dyDescent="0.25">
      <c r="A795" s="121">
        <f t="shared" ca="1" si="17"/>
        <v>0</v>
      </c>
    </row>
    <row r="796" spans="1:1" x14ac:dyDescent="0.25">
      <c r="A796" s="121">
        <f t="shared" ca="1" si="17"/>
        <v>0</v>
      </c>
    </row>
    <row r="797" spans="1:1" x14ac:dyDescent="0.25">
      <c r="A797" s="121">
        <f t="shared" ca="1" si="17"/>
        <v>0</v>
      </c>
    </row>
    <row r="798" spans="1:1" x14ac:dyDescent="0.25">
      <c r="A798" s="121">
        <f t="shared" ca="1" si="17"/>
        <v>0</v>
      </c>
    </row>
    <row r="799" spans="1:1" x14ac:dyDescent="0.25">
      <c r="A799" s="121">
        <f t="shared" ca="1" si="17"/>
        <v>0</v>
      </c>
    </row>
    <row r="800" spans="1:1" x14ac:dyDescent="0.25">
      <c r="A800" s="121">
        <f t="shared" ca="1" si="17"/>
        <v>0</v>
      </c>
    </row>
    <row r="801" spans="1:1" x14ac:dyDescent="0.25">
      <c r="A801" s="121">
        <f t="shared" ca="1" si="17"/>
        <v>0</v>
      </c>
    </row>
    <row r="802" spans="1:1" x14ac:dyDescent="0.25">
      <c r="A802" s="121">
        <f t="shared" ca="1" si="17"/>
        <v>0</v>
      </c>
    </row>
    <row r="803" spans="1:1" x14ac:dyDescent="0.25">
      <c r="A803" s="121">
        <f t="shared" ca="1" si="17"/>
        <v>0</v>
      </c>
    </row>
    <row r="804" spans="1:1" x14ac:dyDescent="0.25">
      <c r="A804" s="121">
        <f t="shared" ca="1" si="17"/>
        <v>0</v>
      </c>
    </row>
    <row r="805" spans="1:1" x14ac:dyDescent="0.25">
      <c r="A805" s="121">
        <f t="shared" ca="1" si="17"/>
        <v>0</v>
      </c>
    </row>
    <row r="806" spans="1:1" x14ac:dyDescent="0.25">
      <c r="A806" s="121">
        <f t="shared" ca="1" si="17"/>
        <v>0</v>
      </c>
    </row>
    <row r="807" spans="1:1" x14ac:dyDescent="0.25">
      <c r="A807" s="121">
        <f t="shared" ca="1" si="17"/>
        <v>0</v>
      </c>
    </row>
    <row r="808" spans="1:1" x14ac:dyDescent="0.25">
      <c r="A808" s="121">
        <f t="shared" ca="1" si="17"/>
        <v>0</v>
      </c>
    </row>
    <row r="809" spans="1:1" x14ac:dyDescent="0.25">
      <c r="A809" s="121">
        <f t="shared" ca="1" si="17"/>
        <v>0</v>
      </c>
    </row>
    <row r="810" spans="1:1" x14ac:dyDescent="0.25">
      <c r="A810" s="121">
        <f t="shared" ca="1" si="17"/>
        <v>0</v>
      </c>
    </row>
    <row r="811" spans="1:1" x14ac:dyDescent="0.25">
      <c r="A811" s="121">
        <f t="shared" ca="1" si="17"/>
        <v>0</v>
      </c>
    </row>
    <row r="812" spans="1:1" x14ac:dyDescent="0.25">
      <c r="A812" s="121">
        <f t="shared" ca="1" si="17"/>
        <v>0</v>
      </c>
    </row>
    <row r="813" spans="1:1" x14ac:dyDescent="0.25">
      <c r="A813" s="121">
        <f t="shared" ca="1" si="17"/>
        <v>0</v>
      </c>
    </row>
    <row r="814" spans="1:1" x14ac:dyDescent="0.25">
      <c r="A814" s="121">
        <f t="shared" ca="1" si="17"/>
        <v>0</v>
      </c>
    </row>
    <row r="815" spans="1:1" x14ac:dyDescent="0.25">
      <c r="A815" s="121">
        <f t="shared" ca="1" si="17"/>
        <v>0</v>
      </c>
    </row>
    <row r="816" spans="1:1" x14ac:dyDescent="0.25">
      <c r="A816" s="121">
        <f t="shared" ca="1" si="17"/>
        <v>0</v>
      </c>
    </row>
    <row r="817" spans="1:1" x14ac:dyDescent="0.25">
      <c r="A817" s="121">
        <f t="shared" ca="1" si="17"/>
        <v>0</v>
      </c>
    </row>
    <row r="818" spans="1:1" x14ac:dyDescent="0.25">
      <c r="A818" s="121">
        <f t="shared" ref="A818:A881" ca="1" si="18">OFFSET(B818,0,$B$2,1,1)</f>
        <v>0</v>
      </c>
    </row>
    <row r="819" spans="1:1" x14ac:dyDescent="0.25">
      <c r="A819" s="121">
        <f t="shared" ca="1" si="18"/>
        <v>0</v>
      </c>
    </row>
    <row r="820" spans="1:1" x14ac:dyDescent="0.25">
      <c r="A820" s="121">
        <f t="shared" ca="1" si="18"/>
        <v>0</v>
      </c>
    </row>
    <row r="821" spans="1:1" x14ac:dyDescent="0.25">
      <c r="A821" s="121">
        <f t="shared" ca="1" si="18"/>
        <v>0</v>
      </c>
    </row>
    <row r="822" spans="1:1" x14ac:dyDescent="0.25">
      <c r="A822" s="121">
        <f t="shared" ca="1" si="18"/>
        <v>0</v>
      </c>
    </row>
    <row r="823" spans="1:1" x14ac:dyDescent="0.25">
      <c r="A823" s="121">
        <f t="shared" ca="1" si="18"/>
        <v>0</v>
      </c>
    </row>
    <row r="824" spans="1:1" x14ac:dyDescent="0.25">
      <c r="A824" s="121">
        <f t="shared" ca="1" si="18"/>
        <v>0</v>
      </c>
    </row>
    <row r="825" spans="1:1" x14ac:dyDescent="0.25">
      <c r="A825" s="121">
        <f t="shared" ca="1" si="18"/>
        <v>0</v>
      </c>
    </row>
    <row r="826" spans="1:1" x14ac:dyDescent="0.25">
      <c r="A826" s="121">
        <f t="shared" ca="1" si="18"/>
        <v>0</v>
      </c>
    </row>
    <row r="827" spans="1:1" x14ac:dyDescent="0.25">
      <c r="A827" s="121">
        <f t="shared" ca="1" si="18"/>
        <v>0</v>
      </c>
    </row>
    <row r="828" spans="1:1" x14ac:dyDescent="0.25">
      <c r="A828" s="121">
        <f t="shared" ca="1" si="18"/>
        <v>0</v>
      </c>
    </row>
    <row r="829" spans="1:1" x14ac:dyDescent="0.25">
      <c r="A829" s="121">
        <f t="shared" ca="1" si="18"/>
        <v>0</v>
      </c>
    </row>
    <row r="830" spans="1:1" x14ac:dyDescent="0.25">
      <c r="A830" s="121">
        <f t="shared" ca="1" si="18"/>
        <v>0</v>
      </c>
    </row>
    <row r="831" spans="1:1" x14ac:dyDescent="0.25">
      <c r="A831" s="121">
        <f t="shared" ca="1" si="18"/>
        <v>0</v>
      </c>
    </row>
    <row r="832" spans="1:1" x14ac:dyDescent="0.25">
      <c r="A832" s="121">
        <f t="shared" ca="1" si="18"/>
        <v>0</v>
      </c>
    </row>
    <row r="833" spans="1:1" x14ac:dyDescent="0.25">
      <c r="A833" s="121">
        <f t="shared" ca="1" si="18"/>
        <v>0</v>
      </c>
    </row>
    <row r="834" spans="1:1" x14ac:dyDescent="0.25">
      <c r="A834" s="121">
        <f t="shared" ca="1" si="18"/>
        <v>0</v>
      </c>
    </row>
    <row r="835" spans="1:1" x14ac:dyDescent="0.25">
      <c r="A835" s="121">
        <f t="shared" ca="1" si="18"/>
        <v>0</v>
      </c>
    </row>
    <row r="836" spans="1:1" x14ac:dyDescent="0.25">
      <c r="A836" s="121">
        <f t="shared" ca="1" si="18"/>
        <v>0</v>
      </c>
    </row>
    <row r="837" spans="1:1" x14ac:dyDescent="0.25">
      <c r="A837" s="121">
        <f t="shared" ca="1" si="18"/>
        <v>0</v>
      </c>
    </row>
    <row r="838" spans="1:1" x14ac:dyDescent="0.25">
      <c r="A838" s="121">
        <f t="shared" ca="1" si="18"/>
        <v>0</v>
      </c>
    </row>
    <row r="839" spans="1:1" x14ac:dyDescent="0.25">
      <c r="A839" s="121">
        <f t="shared" ca="1" si="18"/>
        <v>0</v>
      </c>
    </row>
    <row r="840" spans="1:1" x14ac:dyDescent="0.25">
      <c r="A840" s="121">
        <f t="shared" ca="1" si="18"/>
        <v>0</v>
      </c>
    </row>
    <row r="841" spans="1:1" x14ac:dyDescent="0.25">
      <c r="A841" s="121">
        <f t="shared" ca="1" si="18"/>
        <v>0</v>
      </c>
    </row>
    <row r="842" spans="1:1" x14ac:dyDescent="0.25">
      <c r="A842" s="121">
        <f t="shared" ca="1" si="18"/>
        <v>0</v>
      </c>
    </row>
    <row r="843" spans="1:1" x14ac:dyDescent="0.25">
      <c r="A843" s="121">
        <f t="shared" ca="1" si="18"/>
        <v>0</v>
      </c>
    </row>
    <row r="844" spans="1:1" x14ac:dyDescent="0.25">
      <c r="A844" s="121">
        <f t="shared" ca="1" si="18"/>
        <v>0</v>
      </c>
    </row>
    <row r="845" spans="1:1" x14ac:dyDescent="0.25">
      <c r="A845" s="121">
        <f t="shared" ca="1" si="18"/>
        <v>0</v>
      </c>
    </row>
    <row r="846" spans="1:1" x14ac:dyDescent="0.25">
      <c r="A846" s="121">
        <f t="shared" ca="1" si="18"/>
        <v>0</v>
      </c>
    </row>
    <row r="847" spans="1:1" x14ac:dyDescent="0.25">
      <c r="A847" s="121">
        <f t="shared" ca="1" si="18"/>
        <v>0</v>
      </c>
    </row>
    <row r="848" spans="1:1" x14ac:dyDescent="0.25">
      <c r="A848" s="121">
        <f t="shared" ca="1" si="18"/>
        <v>0</v>
      </c>
    </row>
    <row r="849" spans="1:1" x14ac:dyDescent="0.25">
      <c r="A849" s="121">
        <f t="shared" ca="1" si="18"/>
        <v>0</v>
      </c>
    </row>
    <row r="850" spans="1:1" x14ac:dyDescent="0.25">
      <c r="A850" s="121">
        <f t="shared" ca="1" si="18"/>
        <v>0</v>
      </c>
    </row>
    <row r="851" spans="1:1" x14ac:dyDescent="0.25">
      <c r="A851" s="121">
        <f t="shared" ca="1" si="18"/>
        <v>0</v>
      </c>
    </row>
    <row r="852" spans="1:1" x14ac:dyDescent="0.25">
      <c r="A852" s="121">
        <f t="shared" ca="1" si="18"/>
        <v>0</v>
      </c>
    </row>
    <row r="853" spans="1:1" x14ac:dyDescent="0.25">
      <c r="A853" s="121">
        <f t="shared" ca="1" si="18"/>
        <v>0</v>
      </c>
    </row>
    <row r="854" spans="1:1" x14ac:dyDescent="0.25">
      <c r="A854" s="121">
        <f t="shared" ca="1" si="18"/>
        <v>0</v>
      </c>
    </row>
    <row r="855" spans="1:1" x14ac:dyDescent="0.25">
      <c r="A855" s="121">
        <f t="shared" ca="1" si="18"/>
        <v>0</v>
      </c>
    </row>
    <row r="856" spans="1:1" x14ac:dyDescent="0.25">
      <c r="A856" s="121">
        <f t="shared" ca="1" si="18"/>
        <v>0</v>
      </c>
    </row>
    <row r="857" spans="1:1" x14ac:dyDescent="0.25">
      <c r="A857" s="121">
        <f t="shared" ca="1" si="18"/>
        <v>0</v>
      </c>
    </row>
    <row r="858" spans="1:1" x14ac:dyDescent="0.25">
      <c r="A858" s="121">
        <f t="shared" ca="1" si="18"/>
        <v>0</v>
      </c>
    </row>
    <row r="859" spans="1:1" x14ac:dyDescent="0.25">
      <c r="A859" s="121">
        <f t="shared" ca="1" si="18"/>
        <v>0</v>
      </c>
    </row>
    <row r="860" spans="1:1" x14ac:dyDescent="0.25">
      <c r="A860" s="121">
        <f t="shared" ca="1" si="18"/>
        <v>0</v>
      </c>
    </row>
    <row r="861" spans="1:1" x14ac:dyDescent="0.25">
      <c r="A861" s="121">
        <f t="shared" ca="1" si="18"/>
        <v>0</v>
      </c>
    </row>
    <row r="862" spans="1:1" x14ac:dyDescent="0.25">
      <c r="A862" s="121">
        <f t="shared" ca="1" si="18"/>
        <v>0</v>
      </c>
    </row>
    <row r="863" spans="1:1" x14ac:dyDescent="0.25">
      <c r="A863" s="121">
        <f t="shared" ca="1" si="18"/>
        <v>0</v>
      </c>
    </row>
    <row r="864" spans="1:1" x14ac:dyDescent="0.25">
      <c r="A864" s="121">
        <f t="shared" ca="1" si="18"/>
        <v>0</v>
      </c>
    </row>
    <row r="865" spans="1:1" x14ac:dyDescent="0.25">
      <c r="A865" s="121">
        <f t="shared" ca="1" si="18"/>
        <v>0</v>
      </c>
    </row>
    <row r="866" spans="1:1" x14ac:dyDescent="0.25">
      <c r="A866" s="121">
        <f t="shared" ca="1" si="18"/>
        <v>0</v>
      </c>
    </row>
    <row r="867" spans="1:1" x14ac:dyDescent="0.25">
      <c r="A867" s="121">
        <f t="shared" ca="1" si="18"/>
        <v>0</v>
      </c>
    </row>
    <row r="868" spans="1:1" x14ac:dyDescent="0.25">
      <c r="A868" s="121">
        <f t="shared" ca="1" si="18"/>
        <v>0</v>
      </c>
    </row>
    <row r="869" spans="1:1" x14ac:dyDescent="0.25">
      <c r="A869" s="121">
        <f t="shared" ca="1" si="18"/>
        <v>0</v>
      </c>
    </row>
    <row r="870" spans="1:1" x14ac:dyDescent="0.25">
      <c r="A870" s="121">
        <f t="shared" ca="1" si="18"/>
        <v>0</v>
      </c>
    </row>
    <row r="871" spans="1:1" x14ac:dyDescent="0.25">
      <c r="A871" s="121">
        <f t="shared" ca="1" si="18"/>
        <v>0</v>
      </c>
    </row>
    <row r="872" spans="1:1" x14ac:dyDescent="0.25">
      <c r="A872" s="121">
        <f t="shared" ca="1" si="18"/>
        <v>0</v>
      </c>
    </row>
    <row r="873" spans="1:1" x14ac:dyDescent="0.25">
      <c r="A873" s="121">
        <f t="shared" ca="1" si="18"/>
        <v>0</v>
      </c>
    </row>
    <row r="874" spans="1:1" x14ac:dyDescent="0.25">
      <c r="A874" s="121">
        <f t="shared" ca="1" si="18"/>
        <v>0</v>
      </c>
    </row>
    <row r="875" spans="1:1" x14ac:dyDescent="0.25">
      <c r="A875" s="121">
        <f t="shared" ca="1" si="18"/>
        <v>0</v>
      </c>
    </row>
    <row r="876" spans="1:1" x14ac:dyDescent="0.25">
      <c r="A876" s="121">
        <f t="shared" ca="1" si="18"/>
        <v>0</v>
      </c>
    </row>
    <row r="877" spans="1:1" x14ac:dyDescent="0.25">
      <c r="A877" s="121">
        <f t="shared" ca="1" si="18"/>
        <v>0</v>
      </c>
    </row>
    <row r="878" spans="1:1" x14ac:dyDescent="0.25">
      <c r="A878" s="121">
        <f t="shared" ca="1" si="18"/>
        <v>0</v>
      </c>
    </row>
    <row r="879" spans="1:1" x14ac:dyDescent="0.25">
      <c r="A879" s="121">
        <f t="shared" ca="1" si="18"/>
        <v>0</v>
      </c>
    </row>
    <row r="880" spans="1:1" x14ac:dyDescent="0.25">
      <c r="A880" s="121">
        <f t="shared" ca="1" si="18"/>
        <v>0</v>
      </c>
    </row>
    <row r="881" spans="1:1" x14ac:dyDescent="0.25">
      <c r="A881" s="121">
        <f t="shared" ca="1" si="18"/>
        <v>0</v>
      </c>
    </row>
    <row r="882" spans="1:1" x14ac:dyDescent="0.25">
      <c r="A882" s="121">
        <f t="shared" ref="A882:A945" ca="1" si="19">OFFSET(B882,0,$B$2,1,1)</f>
        <v>0</v>
      </c>
    </row>
    <row r="883" spans="1:1" x14ac:dyDescent="0.25">
      <c r="A883" s="121">
        <f t="shared" ca="1" si="19"/>
        <v>0</v>
      </c>
    </row>
    <row r="884" spans="1:1" x14ac:dyDescent="0.25">
      <c r="A884" s="121">
        <f t="shared" ca="1" si="19"/>
        <v>0</v>
      </c>
    </row>
    <row r="885" spans="1:1" x14ac:dyDescent="0.25">
      <c r="A885" s="121">
        <f t="shared" ca="1" si="19"/>
        <v>0</v>
      </c>
    </row>
    <row r="886" spans="1:1" x14ac:dyDescent="0.25">
      <c r="A886" s="121">
        <f t="shared" ca="1" si="19"/>
        <v>0</v>
      </c>
    </row>
    <row r="887" spans="1:1" x14ac:dyDescent="0.25">
      <c r="A887" s="121">
        <f t="shared" ca="1" si="19"/>
        <v>0</v>
      </c>
    </row>
    <row r="888" spans="1:1" x14ac:dyDescent="0.25">
      <c r="A888" s="121">
        <f t="shared" ca="1" si="19"/>
        <v>0</v>
      </c>
    </row>
    <row r="889" spans="1:1" x14ac:dyDescent="0.25">
      <c r="A889" s="121">
        <f t="shared" ca="1" si="19"/>
        <v>0</v>
      </c>
    </row>
    <row r="890" spans="1:1" x14ac:dyDescent="0.25">
      <c r="A890" s="121">
        <f t="shared" ca="1" si="19"/>
        <v>0</v>
      </c>
    </row>
    <row r="891" spans="1:1" x14ac:dyDescent="0.25">
      <c r="A891" s="121">
        <f t="shared" ca="1" si="19"/>
        <v>0</v>
      </c>
    </row>
    <row r="892" spans="1:1" x14ac:dyDescent="0.25">
      <c r="A892" s="121">
        <f t="shared" ca="1" si="19"/>
        <v>0</v>
      </c>
    </row>
    <row r="893" spans="1:1" x14ac:dyDescent="0.25">
      <c r="A893" s="121">
        <f t="shared" ca="1" si="19"/>
        <v>0</v>
      </c>
    </row>
    <row r="894" spans="1:1" x14ac:dyDescent="0.25">
      <c r="A894" s="121">
        <f t="shared" ca="1" si="19"/>
        <v>0</v>
      </c>
    </row>
    <row r="895" spans="1:1" x14ac:dyDescent="0.25">
      <c r="A895" s="121">
        <f t="shared" ca="1" si="19"/>
        <v>0</v>
      </c>
    </row>
    <row r="896" spans="1:1" x14ac:dyDescent="0.25">
      <c r="A896" s="121">
        <f t="shared" ca="1" si="19"/>
        <v>0</v>
      </c>
    </row>
    <row r="897" spans="1:1" x14ac:dyDescent="0.25">
      <c r="A897" s="121">
        <f t="shared" ca="1" si="19"/>
        <v>0</v>
      </c>
    </row>
    <row r="898" spans="1:1" x14ac:dyDescent="0.25">
      <c r="A898" s="121">
        <f t="shared" ca="1" si="19"/>
        <v>0</v>
      </c>
    </row>
    <row r="899" spans="1:1" x14ac:dyDescent="0.25">
      <c r="A899" s="121">
        <f t="shared" ca="1" si="19"/>
        <v>0</v>
      </c>
    </row>
    <row r="900" spans="1:1" x14ac:dyDescent="0.25">
      <c r="A900" s="121">
        <f t="shared" ca="1" si="19"/>
        <v>0</v>
      </c>
    </row>
    <row r="901" spans="1:1" x14ac:dyDescent="0.25">
      <c r="A901" s="121">
        <f t="shared" ca="1" si="19"/>
        <v>0</v>
      </c>
    </row>
    <row r="902" spans="1:1" x14ac:dyDescent="0.25">
      <c r="A902" s="121">
        <f t="shared" ca="1" si="19"/>
        <v>0</v>
      </c>
    </row>
    <row r="903" spans="1:1" x14ac:dyDescent="0.25">
      <c r="A903" s="121">
        <f t="shared" ca="1" si="19"/>
        <v>0</v>
      </c>
    </row>
    <row r="904" spans="1:1" x14ac:dyDescent="0.25">
      <c r="A904" s="121">
        <f t="shared" ca="1" si="19"/>
        <v>0</v>
      </c>
    </row>
    <row r="905" spans="1:1" x14ac:dyDescent="0.25">
      <c r="A905" s="121">
        <f t="shared" ca="1" si="19"/>
        <v>0</v>
      </c>
    </row>
    <row r="906" spans="1:1" x14ac:dyDescent="0.25">
      <c r="A906" s="121">
        <f t="shared" ca="1" si="19"/>
        <v>0</v>
      </c>
    </row>
    <row r="907" spans="1:1" x14ac:dyDescent="0.25">
      <c r="A907" s="121">
        <f t="shared" ca="1" si="19"/>
        <v>0</v>
      </c>
    </row>
    <row r="908" spans="1:1" x14ac:dyDescent="0.25">
      <c r="A908" s="121">
        <f t="shared" ca="1" si="19"/>
        <v>0</v>
      </c>
    </row>
    <row r="909" spans="1:1" x14ac:dyDescent="0.25">
      <c r="A909" s="121">
        <f t="shared" ca="1" si="19"/>
        <v>0</v>
      </c>
    </row>
    <row r="910" spans="1:1" x14ac:dyDescent="0.25">
      <c r="A910" s="121">
        <f t="shared" ca="1" si="19"/>
        <v>0</v>
      </c>
    </row>
    <row r="911" spans="1:1" x14ac:dyDescent="0.25">
      <c r="A911" s="121">
        <f t="shared" ca="1" si="19"/>
        <v>0</v>
      </c>
    </row>
    <row r="912" spans="1:1" x14ac:dyDescent="0.25">
      <c r="A912" s="121">
        <f t="shared" ca="1" si="19"/>
        <v>0</v>
      </c>
    </row>
    <row r="913" spans="1:1" x14ac:dyDescent="0.25">
      <c r="A913" s="121">
        <f t="shared" ca="1" si="19"/>
        <v>0</v>
      </c>
    </row>
    <row r="914" spans="1:1" x14ac:dyDescent="0.25">
      <c r="A914" s="121">
        <f t="shared" ca="1" si="19"/>
        <v>0</v>
      </c>
    </row>
    <row r="915" spans="1:1" x14ac:dyDescent="0.25">
      <c r="A915" s="121">
        <f t="shared" ca="1" si="19"/>
        <v>0</v>
      </c>
    </row>
    <row r="916" spans="1:1" x14ac:dyDescent="0.25">
      <c r="A916" s="121">
        <f t="shared" ca="1" si="19"/>
        <v>0</v>
      </c>
    </row>
    <row r="917" spans="1:1" x14ac:dyDescent="0.25">
      <c r="A917" s="121">
        <f t="shared" ca="1" si="19"/>
        <v>0</v>
      </c>
    </row>
    <row r="918" spans="1:1" x14ac:dyDescent="0.25">
      <c r="A918" s="121">
        <f t="shared" ca="1" si="19"/>
        <v>0</v>
      </c>
    </row>
    <row r="919" spans="1:1" x14ac:dyDescent="0.25">
      <c r="A919" s="121">
        <f t="shared" ca="1" si="19"/>
        <v>0</v>
      </c>
    </row>
    <row r="920" spans="1:1" x14ac:dyDescent="0.25">
      <c r="A920" s="121">
        <f t="shared" ca="1" si="19"/>
        <v>0</v>
      </c>
    </row>
    <row r="921" spans="1:1" x14ac:dyDescent="0.25">
      <c r="A921" s="121">
        <f t="shared" ca="1" si="19"/>
        <v>0</v>
      </c>
    </row>
    <row r="922" spans="1:1" x14ac:dyDescent="0.25">
      <c r="A922" s="121">
        <f t="shared" ca="1" si="19"/>
        <v>0</v>
      </c>
    </row>
    <row r="923" spans="1:1" x14ac:dyDescent="0.25">
      <c r="A923" s="121">
        <f t="shared" ca="1" si="19"/>
        <v>0</v>
      </c>
    </row>
    <row r="924" spans="1:1" x14ac:dyDescent="0.25">
      <c r="A924" s="121">
        <f t="shared" ca="1" si="19"/>
        <v>0</v>
      </c>
    </row>
    <row r="925" spans="1:1" x14ac:dyDescent="0.25">
      <c r="A925" s="121">
        <f t="shared" ca="1" si="19"/>
        <v>0</v>
      </c>
    </row>
    <row r="926" spans="1:1" x14ac:dyDescent="0.25">
      <c r="A926" s="121">
        <f t="shared" ca="1" si="19"/>
        <v>0</v>
      </c>
    </row>
    <row r="927" spans="1:1" x14ac:dyDescent="0.25">
      <c r="A927" s="121">
        <f t="shared" ca="1" si="19"/>
        <v>0</v>
      </c>
    </row>
    <row r="928" spans="1:1" x14ac:dyDescent="0.25">
      <c r="A928" s="121">
        <f t="shared" ca="1" si="19"/>
        <v>0</v>
      </c>
    </row>
    <row r="929" spans="1:1" x14ac:dyDescent="0.25">
      <c r="A929" s="121">
        <f t="shared" ca="1" si="19"/>
        <v>0</v>
      </c>
    </row>
    <row r="930" spans="1:1" x14ac:dyDescent="0.25">
      <c r="A930" s="121">
        <f t="shared" ca="1" si="19"/>
        <v>0</v>
      </c>
    </row>
    <row r="931" spans="1:1" x14ac:dyDescent="0.25">
      <c r="A931" s="121">
        <f t="shared" ca="1" si="19"/>
        <v>0</v>
      </c>
    </row>
    <row r="932" spans="1:1" x14ac:dyDescent="0.25">
      <c r="A932" s="121">
        <f t="shared" ca="1" si="19"/>
        <v>0</v>
      </c>
    </row>
    <row r="933" spans="1:1" x14ac:dyDescent="0.25">
      <c r="A933" s="121">
        <f t="shared" ca="1" si="19"/>
        <v>0</v>
      </c>
    </row>
    <row r="934" spans="1:1" x14ac:dyDescent="0.25">
      <c r="A934" s="121">
        <f t="shared" ca="1" si="19"/>
        <v>0</v>
      </c>
    </row>
    <row r="935" spans="1:1" x14ac:dyDescent="0.25">
      <c r="A935" s="121">
        <f t="shared" ca="1" si="19"/>
        <v>0</v>
      </c>
    </row>
    <row r="936" spans="1:1" x14ac:dyDescent="0.25">
      <c r="A936" s="121">
        <f t="shared" ca="1" si="19"/>
        <v>0</v>
      </c>
    </row>
    <row r="937" spans="1:1" x14ac:dyDescent="0.25">
      <c r="A937" s="121">
        <f t="shared" ca="1" si="19"/>
        <v>0</v>
      </c>
    </row>
    <row r="938" spans="1:1" x14ac:dyDescent="0.25">
      <c r="A938" s="121">
        <f t="shared" ca="1" si="19"/>
        <v>0</v>
      </c>
    </row>
    <row r="939" spans="1:1" x14ac:dyDescent="0.25">
      <c r="A939" s="121">
        <f t="shared" ca="1" si="19"/>
        <v>0</v>
      </c>
    </row>
    <row r="940" spans="1:1" x14ac:dyDescent="0.25">
      <c r="A940" s="121">
        <f t="shared" ca="1" si="19"/>
        <v>0</v>
      </c>
    </row>
    <row r="941" spans="1:1" x14ac:dyDescent="0.25">
      <c r="A941" s="121">
        <f t="shared" ca="1" si="19"/>
        <v>0</v>
      </c>
    </row>
    <row r="942" spans="1:1" x14ac:dyDescent="0.25">
      <c r="A942" s="121">
        <f t="shared" ca="1" si="19"/>
        <v>0</v>
      </c>
    </row>
    <row r="943" spans="1:1" x14ac:dyDescent="0.25">
      <c r="A943" s="121">
        <f t="shared" ca="1" si="19"/>
        <v>0</v>
      </c>
    </row>
    <row r="944" spans="1:1" x14ac:dyDescent="0.25">
      <c r="A944" s="121">
        <f t="shared" ca="1" si="19"/>
        <v>0</v>
      </c>
    </row>
    <row r="945" spans="1:1" x14ac:dyDescent="0.25">
      <c r="A945" s="121">
        <f t="shared" ca="1" si="19"/>
        <v>0</v>
      </c>
    </row>
    <row r="946" spans="1:1" x14ac:dyDescent="0.25">
      <c r="A946" s="121">
        <f t="shared" ref="A946:A1008" ca="1" si="20">OFFSET(B946,0,$B$2,1,1)</f>
        <v>0</v>
      </c>
    </row>
    <row r="947" spans="1:1" x14ac:dyDescent="0.25">
      <c r="A947" s="121">
        <f t="shared" ca="1" si="20"/>
        <v>0</v>
      </c>
    </row>
    <row r="948" spans="1:1" x14ac:dyDescent="0.25">
      <c r="A948" s="121">
        <f t="shared" ca="1" si="20"/>
        <v>0</v>
      </c>
    </row>
    <row r="949" spans="1:1" x14ac:dyDescent="0.25">
      <c r="A949" s="121">
        <f t="shared" ca="1" si="20"/>
        <v>0</v>
      </c>
    </row>
    <row r="950" spans="1:1" x14ac:dyDescent="0.25">
      <c r="A950" s="121">
        <f t="shared" ca="1" si="20"/>
        <v>0</v>
      </c>
    </row>
    <row r="951" spans="1:1" x14ac:dyDescent="0.25">
      <c r="A951" s="121">
        <f t="shared" ca="1" si="20"/>
        <v>0</v>
      </c>
    </row>
    <row r="952" spans="1:1" x14ac:dyDescent="0.25">
      <c r="A952" s="121">
        <f t="shared" ca="1" si="20"/>
        <v>0</v>
      </c>
    </row>
    <row r="953" spans="1:1" x14ac:dyDescent="0.25">
      <c r="A953" s="121">
        <f t="shared" ca="1" si="20"/>
        <v>0</v>
      </c>
    </row>
    <row r="954" spans="1:1" x14ac:dyDescent="0.25">
      <c r="A954" s="121">
        <f t="shared" ca="1" si="20"/>
        <v>0</v>
      </c>
    </row>
    <row r="955" spans="1:1" x14ac:dyDescent="0.25">
      <c r="A955" s="121">
        <f t="shared" ca="1" si="20"/>
        <v>0</v>
      </c>
    </row>
    <row r="956" spans="1:1" x14ac:dyDescent="0.25">
      <c r="A956" s="121">
        <f t="shared" ca="1" si="20"/>
        <v>0</v>
      </c>
    </row>
    <row r="957" spans="1:1" x14ac:dyDescent="0.25">
      <c r="A957" s="121">
        <f t="shared" ca="1" si="20"/>
        <v>0</v>
      </c>
    </row>
    <row r="958" spans="1:1" x14ac:dyDescent="0.25">
      <c r="A958" s="121">
        <f t="shared" ca="1" si="20"/>
        <v>0</v>
      </c>
    </row>
    <row r="959" spans="1:1" x14ac:dyDescent="0.25">
      <c r="A959" s="121">
        <f t="shared" ca="1" si="20"/>
        <v>0</v>
      </c>
    </row>
    <row r="960" spans="1:1" x14ac:dyDescent="0.25">
      <c r="A960" s="121">
        <f t="shared" ca="1" si="20"/>
        <v>0</v>
      </c>
    </row>
    <row r="961" spans="1:1" x14ac:dyDescent="0.25">
      <c r="A961" s="121">
        <f t="shared" ca="1" si="20"/>
        <v>0</v>
      </c>
    </row>
    <row r="962" spans="1:1" x14ac:dyDescent="0.25">
      <c r="A962" s="121">
        <f t="shared" ca="1" si="20"/>
        <v>0</v>
      </c>
    </row>
    <row r="963" spans="1:1" x14ac:dyDescent="0.25">
      <c r="A963" s="121">
        <f t="shared" ca="1" si="20"/>
        <v>0</v>
      </c>
    </row>
    <row r="964" spans="1:1" x14ac:dyDescent="0.25">
      <c r="A964" s="121">
        <f t="shared" ca="1" si="20"/>
        <v>0</v>
      </c>
    </row>
    <row r="965" spans="1:1" x14ac:dyDescent="0.25">
      <c r="A965" s="121">
        <f t="shared" ca="1" si="20"/>
        <v>0</v>
      </c>
    </row>
    <row r="966" spans="1:1" x14ac:dyDescent="0.25">
      <c r="A966" s="121">
        <f t="shared" ca="1" si="20"/>
        <v>0</v>
      </c>
    </row>
    <row r="967" spans="1:1" x14ac:dyDescent="0.25">
      <c r="A967" s="121">
        <f t="shared" ca="1" si="20"/>
        <v>0</v>
      </c>
    </row>
    <row r="968" spans="1:1" x14ac:dyDescent="0.25">
      <c r="A968" s="121">
        <f t="shared" ca="1" si="20"/>
        <v>0</v>
      </c>
    </row>
    <row r="969" spans="1:1" x14ac:dyDescent="0.25">
      <c r="A969" s="121">
        <f t="shared" ca="1" si="20"/>
        <v>0</v>
      </c>
    </row>
    <row r="970" spans="1:1" x14ac:dyDescent="0.25">
      <c r="A970" s="121">
        <f t="shared" ca="1" si="20"/>
        <v>0</v>
      </c>
    </row>
    <row r="971" spans="1:1" x14ac:dyDescent="0.25">
      <c r="A971" s="121">
        <f t="shared" ca="1" si="20"/>
        <v>0</v>
      </c>
    </row>
    <row r="972" spans="1:1" x14ac:dyDescent="0.25">
      <c r="A972" s="121">
        <f t="shared" ca="1" si="20"/>
        <v>0</v>
      </c>
    </row>
    <row r="973" spans="1:1" x14ac:dyDescent="0.25">
      <c r="A973" s="121">
        <f t="shared" ca="1" si="20"/>
        <v>0</v>
      </c>
    </row>
    <row r="974" spans="1:1" x14ac:dyDescent="0.25">
      <c r="A974" s="121">
        <f t="shared" ca="1" si="20"/>
        <v>0</v>
      </c>
    </row>
    <row r="975" spans="1:1" x14ac:dyDescent="0.25">
      <c r="A975" s="121">
        <f t="shared" ca="1" si="20"/>
        <v>0</v>
      </c>
    </row>
    <row r="976" spans="1:1" x14ac:dyDescent="0.25">
      <c r="A976" s="121">
        <f t="shared" ca="1" si="20"/>
        <v>0</v>
      </c>
    </row>
    <row r="977" spans="1:1" x14ac:dyDescent="0.25">
      <c r="A977" s="121">
        <f t="shared" ca="1" si="20"/>
        <v>0</v>
      </c>
    </row>
    <row r="978" spans="1:1" x14ac:dyDescent="0.25">
      <c r="A978" s="121">
        <f t="shared" ca="1" si="20"/>
        <v>0</v>
      </c>
    </row>
    <row r="979" spans="1:1" x14ac:dyDescent="0.25">
      <c r="A979" s="121">
        <f t="shared" ca="1" si="20"/>
        <v>0</v>
      </c>
    </row>
    <row r="980" spans="1:1" x14ac:dyDescent="0.25">
      <c r="A980" s="121">
        <f t="shared" ca="1" si="20"/>
        <v>0</v>
      </c>
    </row>
    <row r="981" spans="1:1" x14ac:dyDescent="0.25">
      <c r="A981" s="121">
        <f t="shared" ca="1" si="20"/>
        <v>0</v>
      </c>
    </row>
    <row r="982" spans="1:1" x14ac:dyDescent="0.25">
      <c r="A982" s="121">
        <f t="shared" ca="1" si="20"/>
        <v>0</v>
      </c>
    </row>
    <row r="983" spans="1:1" x14ac:dyDescent="0.25">
      <c r="A983" s="121">
        <f t="shared" ca="1" si="20"/>
        <v>0</v>
      </c>
    </row>
    <row r="984" spans="1:1" x14ac:dyDescent="0.25">
      <c r="A984" s="121">
        <f t="shared" ca="1" si="20"/>
        <v>0</v>
      </c>
    </row>
    <row r="985" spans="1:1" x14ac:dyDescent="0.25">
      <c r="A985" s="121">
        <f t="shared" ca="1" si="20"/>
        <v>0</v>
      </c>
    </row>
    <row r="986" spans="1:1" x14ac:dyDescent="0.25">
      <c r="A986" s="121">
        <f t="shared" ca="1" si="20"/>
        <v>0</v>
      </c>
    </row>
    <row r="987" spans="1:1" x14ac:dyDescent="0.25">
      <c r="A987" s="121">
        <f t="shared" ca="1" si="20"/>
        <v>0</v>
      </c>
    </row>
    <row r="988" spans="1:1" x14ac:dyDescent="0.25">
      <c r="A988" s="121">
        <f t="shared" ca="1" si="20"/>
        <v>0</v>
      </c>
    </row>
    <row r="989" spans="1:1" x14ac:dyDescent="0.25">
      <c r="A989" s="121">
        <f t="shared" ca="1" si="20"/>
        <v>0</v>
      </c>
    </row>
    <row r="990" spans="1:1" x14ac:dyDescent="0.25">
      <c r="A990" s="121">
        <f t="shared" ca="1" si="20"/>
        <v>0</v>
      </c>
    </row>
    <row r="991" spans="1:1" x14ac:dyDescent="0.25">
      <c r="A991" s="121">
        <f t="shared" ca="1" si="20"/>
        <v>0</v>
      </c>
    </row>
    <row r="992" spans="1:1" x14ac:dyDescent="0.25">
      <c r="A992" s="121">
        <f t="shared" ca="1" si="20"/>
        <v>0</v>
      </c>
    </row>
    <row r="993" spans="1:1" x14ac:dyDescent="0.25">
      <c r="A993" s="121">
        <f t="shared" ca="1" si="20"/>
        <v>0</v>
      </c>
    </row>
    <row r="994" spans="1:1" x14ac:dyDescent="0.25">
      <c r="A994" s="121">
        <f t="shared" ca="1" si="20"/>
        <v>0</v>
      </c>
    </row>
    <row r="995" spans="1:1" x14ac:dyDescent="0.25">
      <c r="A995" s="121">
        <f t="shared" ca="1" si="20"/>
        <v>0</v>
      </c>
    </row>
    <row r="996" spans="1:1" x14ac:dyDescent="0.25">
      <c r="A996" s="121">
        <f t="shared" ca="1" si="20"/>
        <v>0</v>
      </c>
    </row>
    <row r="997" spans="1:1" x14ac:dyDescent="0.25">
      <c r="A997" s="121">
        <f t="shared" ca="1" si="20"/>
        <v>0</v>
      </c>
    </row>
    <row r="998" spans="1:1" x14ac:dyDescent="0.25">
      <c r="A998" s="121">
        <f t="shared" ca="1" si="20"/>
        <v>0</v>
      </c>
    </row>
    <row r="999" spans="1:1" x14ac:dyDescent="0.25">
      <c r="A999" s="121">
        <f t="shared" ca="1" si="20"/>
        <v>0</v>
      </c>
    </row>
    <row r="1000" spans="1:1" x14ac:dyDescent="0.25">
      <c r="A1000" s="121">
        <f t="shared" ca="1" si="20"/>
        <v>0</v>
      </c>
    </row>
    <row r="1001" spans="1:1" x14ac:dyDescent="0.25">
      <c r="A1001" s="121">
        <f t="shared" ca="1" si="20"/>
        <v>0</v>
      </c>
    </row>
    <row r="1002" spans="1:1" x14ac:dyDescent="0.25">
      <c r="A1002" s="121">
        <f t="shared" ca="1" si="20"/>
        <v>0</v>
      </c>
    </row>
    <row r="1003" spans="1:1" x14ac:dyDescent="0.25">
      <c r="A1003" s="121">
        <f t="shared" ca="1" si="20"/>
        <v>0</v>
      </c>
    </row>
    <row r="1004" spans="1:1" x14ac:dyDescent="0.25">
      <c r="A1004" s="121">
        <f t="shared" ca="1" si="20"/>
        <v>0</v>
      </c>
    </row>
    <row r="1005" spans="1:1" x14ac:dyDescent="0.25">
      <c r="A1005" s="121">
        <f t="shared" ca="1" si="20"/>
        <v>0</v>
      </c>
    </row>
    <row r="1006" spans="1:1" x14ac:dyDescent="0.25">
      <c r="A1006" s="121">
        <f t="shared" ca="1" si="20"/>
        <v>0</v>
      </c>
    </row>
    <row r="1007" spans="1:1" x14ac:dyDescent="0.25">
      <c r="A1007" s="121">
        <f t="shared" ca="1" si="20"/>
        <v>0</v>
      </c>
    </row>
    <row r="1008" spans="1:1" x14ac:dyDescent="0.25">
      <c r="A1008" s="121">
        <f t="shared" ca="1" si="20"/>
        <v>0</v>
      </c>
    </row>
  </sheetData>
  <hyperlinks>
    <hyperlink ref="C26" r:id="rId1"/>
    <hyperlink ref="C34" r:id="rId2"/>
    <hyperlink ref="C30" r:id="rId3"/>
    <hyperlink ref="C42" r:id="rId4"/>
    <hyperlink ref="C45" r:id="rId5"/>
    <hyperlink ref="C48" r:id="rId6"/>
    <hyperlink ref="C51" r:id="rId7"/>
    <hyperlink ref="C54" r:id="rId8"/>
    <hyperlink ref="C57" r:id="rId9"/>
    <hyperlink ref="C38" r:id="rId10"/>
    <hyperlink ref="D26" r:id="rId11"/>
    <hyperlink ref="D30" r:id="rId12"/>
    <hyperlink ref="D34" r:id="rId13"/>
    <hyperlink ref="D38" r:id="rId14"/>
    <hyperlink ref="E38:H38" r:id="rId15" display="http://www.grass.at"/>
    <hyperlink ref="E34:H34" r:id="rId16" display="http://www.grass.at"/>
    <hyperlink ref="E30:H30" r:id="rId17" display="http://www.grass.at"/>
    <hyperlink ref="E26:H26" r:id="rId18" display="http://www.grass.at"/>
    <hyperlink ref="E38" r:id="rId19"/>
    <hyperlink ref="E34" r:id="rId20"/>
    <hyperlink ref="E30" r:id="rId21"/>
    <hyperlink ref="E26" r:id="rId22"/>
    <hyperlink ref="I26" r:id="rId23" display="http://www.grass.at/"/>
    <hyperlink ref="I30" r:id="rId24" display="http://www.grass.at/"/>
    <hyperlink ref="I34" r:id="rId25"/>
    <hyperlink ref="I38" r:id="rId26"/>
    <hyperlink ref="I42" r:id="rId27"/>
    <hyperlink ref="I45" r:id="rId28"/>
    <hyperlink ref="I48" r:id="rId29"/>
    <hyperlink ref="I54" r:id="rId30"/>
    <hyperlink ref="I57" r:id="rId31"/>
    <hyperlink ref="J26" r:id="rId32"/>
    <hyperlink ref="J30" r:id="rId33"/>
    <hyperlink ref="J34" r:id="rId34"/>
    <hyperlink ref="J57" r:id="rId35"/>
    <hyperlink ref="J54" r:id="rId36"/>
    <hyperlink ref="J51" r:id="rId37"/>
    <hyperlink ref="J48" r:id="rId38"/>
    <hyperlink ref="J45" r:id="rId39"/>
    <hyperlink ref="J42" r:id="rId40"/>
    <hyperlink ref="J38" r:id="rId41"/>
    <hyperlink ref="L26" r:id="rId42"/>
    <hyperlink ref="L34" r:id="rId43"/>
    <hyperlink ref="L30" r:id="rId44"/>
    <hyperlink ref="L42" r:id="rId45"/>
    <hyperlink ref="L45" r:id="rId46"/>
    <hyperlink ref="L48" r:id="rId47"/>
    <hyperlink ref="L51" r:id="rId48"/>
    <hyperlink ref="L54" r:id="rId49"/>
    <hyperlink ref="L57" r:id="rId50"/>
    <hyperlink ref="L38" r:id="rId51"/>
    <hyperlink ref="L154" r:id="rId52" location="/search=%D1%81%D0%B5%CC%81%D1%80%D1%8B%D0%B9&amp;searchLoc=0&amp;resultOrder=basic&amp;multiwordShowSingle=on" display="http://dict.leo.org/rude/index_de.html - /search=%D1%81%D0%B5%CC%81%D1%80%D1%8B%D0%B9&amp;searchLoc=0&amp;resultOrder=basic&amp;multiwordShowSingle=on"/>
    <hyperlink ref="M45" r:id="rId53"/>
    <hyperlink ref="M48" r:id="rId54"/>
    <hyperlink ref="M51" r:id="rId55"/>
    <hyperlink ref="M54" r:id="rId56"/>
    <hyperlink ref="M57" r:id="rId57"/>
    <hyperlink ref="M42" r:id="rId58"/>
    <hyperlink ref="M30" r:id="rId59"/>
    <hyperlink ref="M26" r:id="rId60"/>
    <hyperlink ref="M34" r:id="rId61"/>
    <hyperlink ref="M38" r:id="rId62"/>
  </hyperlinks>
  <pageMargins left="0.7" right="0.7" top="0.78740157499999996" bottom="0.78740157499999996" header="0.3" footer="0.3"/>
  <pageSetup paperSize="9" orientation="portrait" r:id="rId63"/>
  <legacyDrawing r:id="rId6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2:BJ91"/>
  <sheetViews>
    <sheetView topLeftCell="A13" zoomScaleNormal="100" workbookViewId="0">
      <pane xSplit="5" topLeftCell="AC1" activePane="topRight" state="frozen"/>
      <selection pane="topRight" activeCell="AR35" sqref="AR35"/>
    </sheetView>
  </sheetViews>
  <sheetFormatPr defaultColWidth="11.42578125" defaultRowHeight="15" x14ac:dyDescent="0.25"/>
  <cols>
    <col min="1" max="3" width="11.42578125" style="4"/>
    <col min="4" max="4" width="24.7109375" style="4" customWidth="1"/>
    <col min="5" max="5" width="5" style="137" bestFit="1" customWidth="1"/>
    <col min="6" max="6" width="6.5703125" style="4" customWidth="1"/>
    <col min="7" max="7" width="24.7109375" style="4" customWidth="1"/>
    <col min="8" max="9" width="6.5703125" style="4" customWidth="1"/>
    <col min="10" max="10" width="24.7109375" style="4" customWidth="1"/>
    <col min="11" max="12" width="6.5703125" style="4" customWidth="1"/>
    <col min="13" max="13" width="24.7109375" style="4" customWidth="1"/>
    <col min="14" max="15" width="6.5703125" style="4" customWidth="1"/>
    <col min="16" max="16" width="24.7109375" style="4" customWidth="1"/>
    <col min="17" max="18" width="6.5703125" style="4" customWidth="1"/>
    <col min="19" max="19" width="24.7109375" style="4" customWidth="1"/>
    <col min="20" max="21" width="6.5703125" style="4" customWidth="1"/>
    <col min="22" max="22" width="24.7109375" style="4" customWidth="1"/>
    <col min="23" max="24" width="6.5703125" style="4" customWidth="1"/>
    <col min="25" max="25" width="24.7109375" style="4" customWidth="1"/>
    <col min="26" max="27" width="6.5703125" style="4" customWidth="1"/>
    <col min="28" max="28" width="24.7109375" style="4" customWidth="1"/>
    <col min="29" max="30" width="6.5703125" style="4" customWidth="1"/>
    <col min="31" max="31" width="24.7109375" style="4" customWidth="1"/>
    <col min="32" max="33" width="6.5703125" style="4" customWidth="1"/>
    <col min="34" max="34" width="24.7109375" style="4" customWidth="1"/>
    <col min="35" max="36" width="6.5703125" style="4" customWidth="1"/>
    <col min="37" max="37" width="24.7109375" style="4" customWidth="1"/>
    <col min="38" max="39" width="6.5703125" style="4" customWidth="1"/>
    <col min="40" max="40" width="24.7109375" style="4" customWidth="1"/>
    <col min="41" max="42" width="6.5703125" style="4" customWidth="1"/>
    <col min="43" max="43" width="24.7109375" style="4" customWidth="1"/>
    <col min="44" max="45" width="6.5703125" style="4" customWidth="1"/>
    <col min="46" max="46" width="24.7109375" style="4" customWidth="1"/>
    <col min="47" max="48" width="6.5703125" style="4" customWidth="1"/>
    <col min="49" max="49" width="24.7109375" style="4" customWidth="1"/>
    <col min="50" max="51" width="6.5703125" style="4" customWidth="1"/>
    <col min="52" max="52" width="24.7109375" style="4" customWidth="1"/>
    <col min="53" max="54" width="6.5703125" style="4" customWidth="1"/>
    <col min="55" max="55" width="24.7109375" style="4" customWidth="1"/>
    <col min="56" max="57" width="6.5703125" style="4" customWidth="1"/>
    <col min="58" max="58" width="24.7109375" style="4" customWidth="1"/>
    <col min="59" max="60" width="6.5703125" style="4" customWidth="1"/>
    <col min="61" max="61" width="24.7109375" style="4" customWidth="1"/>
    <col min="62" max="62" width="6.5703125" style="4" customWidth="1"/>
    <col min="63" max="16384" width="11.42578125" style="4"/>
  </cols>
  <sheetData>
    <row r="2" spans="1:23" s="145" customFormat="1" x14ac:dyDescent="0.25">
      <c r="A2" s="148" t="s">
        <v>1536</v>
      </c>
      <c r="E2" s="146"/>
    </row>
    <row r="3" spans="1:23" s="145" customFormat="1" x14ac:dyDescent="0.25">
      <c r="E3" s="147"/>
    </row>
    <row r="4" spans="1:23" s="145" customFormat="1" x14ac:dyDescent="0.25">
      <c r="B4" s="145" t="s">
        <v>1621</v>
      </c>
      <c r="E4" s="147"/>
      <c r="J4" s="145" t="s">
        <v>1604</v>
      </c>
      <c r="P4" s="145" t="s">
        <v>1612</v>
      </c>
      <c r="S4" s="145" t="s">
        <v>1605</v>
      </c>
      <c r="W4" s="145" t="s">
        <v>1613</v>
      </c>
    </row>
    <row r="5" spans="1:23" s="145" customFormat="1" x14ac:dyDescent="0.25">
      <c r="E5" s="147"/>
      <c r="J5" s="145" t="s">
        <v>1622</v>
      </c>
    </row>
    <row r="6" spans="1:23" s="145" customFormat="1" x14ac:dyDescent="0.25">
      <c r="E6" s="146"/>
    </row>
    <row r="7" spans="1:23" s="145" customFormat="1" x14ac:dyDescent="0.25">
      <c r="E7" s="146"/>
    </row>
    <row r="8" spans="1:23" s="145" customFormat="1" x14ac:dyDescent="0.25">
      <c r="E8" s="146"/>
    </row>
    <row r="9" spans="1:23" s="145" customFormat="1" x14ac:dyDescent="0.25">
      <c r="E9" s="146"/>
    </row>
    <row r="10" spans="1:23" s="145" customFormat="1" x14ac:dyDescent="0.25">
      <c r="E10" s="146"/>
    </row>
    <row r="11" spans="1:23" s="145" customFormat="1" x14ac:dyDescent="0.25">
      <c r="E11" s="146"/>
    </row>
    <row r="12" spans="1:23" s="145" customFormat="1" x14ac:dyDescent="0.25">
      <c r="E12" s="146"/>
    </row>
    <row r="13" spans="1:23" s="145" customFormat="1" x14ac:dyDescent="0.25">
      <c r="E13" s="146"/>
    </row>
    <row r="14" spans="1:23" s="145" customFormat="1" x14ac:dyDescent="0.25">
      <c r="E14" s="146"/>
    </row>
    <row r="15" spans="1:23" s="145" customFormat="1" x14ac:dyDescent="0.25">
      <c r="E15" s="146"/>
      <c r="W15" s="145" t="s">
        <v>1606</v>
      </c>
    </row>
    <row r="16" spans="1:23" s="145" customFormat="1" x14ac:dyDescent="0.25">
      <c r="E16" s="146"/>
      <c r="W16" s="145" t="s">
        <v>1607</v>
      </c>
    </row>
    <row r="17" spans="1:62" s="145" customFormat="1" x14ac:dyDescent="0.25">
      <c r="E17" s="146"/>
      <c r="W17" s="145" t="s">
        <v>1608</v>
      </c>
    </row>
    <row r="18" spans="1:62" s="145" customFormat="1" x14ac:dyDescent="0.25">
      <c r="E18" s="146"/>
    </row>
    <row r="19" spans="1:62" s="145" customFormat="1" x14ac:dyDescent="0.25">
      <c r="E19" s="146"/>
      <c r="W19" s="145" t="s">
        <v>1609</v>
      </c>
    </row>
    <row r="20" spans="1:62" s="145" customFormat="1" x14ac:dyDescent="0.25">
      <c r="E20" s="146"/>
      <c r="W20" s="145" t="s">
        <v>1611</v>
      </c>
    </row>
    <row r="21" spans="1:62" s="145" customFormat="1" x14ac:dyDescent="0.25">
      <c r="E21" s="146"/>
      <c r="W21" s="145" t="s">
        <v>1610</v>
      </c>
    </row>
    <row r="22" spans="1:62" s="145" customFormat="1" x14ac:dyDescent="0.25">
      <c r="E22" s="146"/>
    </row>
    <row r="23" spans="1:62" s="145" customFormat="1" x14ac:dyDescent="0.25">
      <c r="E23" s="146"/>
    </row>
    <row r="24" spans="1:62" s="145" customFormat="1" x14ac:dyDescent="0.25">
      <c r="E24" s="146"/>
    </row>
    <row r="25" spans="1:62" s="145" customFormat="1" x14ac:dyDescent="0.25">
      <c r="E25" s="146"/>
    </row>
    <row r="26" spans="1:62" s="145" customFormat="1" x14ac:dyDescent="0.25">
      <c r="E26" s="146"/>
    </row>
    <row r="27" spans="1:62" s="145" customFormat="1" x14ac:dyDescent="0.25">
      <c r="E27" s="146"/>
    </row>
    <row r="28" spans="1:62" s="54" customFormat="1" x14ac:dyDescent="0.25">
      <c r="A28" s="54" t="s">
        <v>48</v>
      </c>
      <c r="B28" s="54">
        <f>Sprache!B2</f>
        <v>10</v>
      </c>
      <c r="C28" s="54">
        <f>B28*3-2</f>
        <v>28</v>
      </c>
      <c r="D28" s="54" t="s">
        <v>1579</v>
      </c>
      <c r="G28" s="54" t="s">
        <v>1580</v>
      </c>
      <c r="J28" s="54" t="s">
        <v>1581</v>
      </c>
      <c r="M28" s="54" t="s">
        <v>1582</v>
      </c>
      <c r="P28" s="54" t="s">
        <v>1583</v>
      </c>
      <c r="S28" s="54" t="s">
        <v>1584</v>
      </c>
      <c r="V28" s="54" t="s">
        <v>1585</v>
      </c>
      <c r="Y28" s="54" t="s">
        <v>1586</v>
      </c>
      <c r="AB28" s="54" t="s">
        <v>1587</v>
      </c>
      <c r="AE28" s="54" t="s">
        <v>1588</v>
      </c>
      <c r="AH28" s="54" t="s">
        <v>1589</v>
      </c>
      <c r="AK28" s="54" t="s">
        <v>1590</v>
      </c>
      <c r="AN28" s="54" t="s">
        <v>1591</v>
      </c>
      <c r="AQ28" s="54" t="s">
        <v>1592</v>
      </c>
      <c r="AT28" s="54" t="s">
        <v>1593</v>
      </c>
      <c r="AW28" s="54" t="s">
        <v>1594</v>
      </c>
      <c r="AZ28" s="54" t="s">
        <v>1595</v>
      </c>
      <c r="BC28" s="54" t="s">
        <v>1596</v>
      </c>
      <c r="BF28" s="54" t="s">
        <v>1597</v>
      </c>
      <c r="BI28" s="54" t="s">
        <v>1598</v>
      </c>
    </row>
    <row r="30" spans="1:62" s="5" customFormat="1" x14ac:dyDescent="0.25">
      <c r="A30" s="161" t="s">
        <v>1534</v>
      </c>
      <c r="B30" s="161" t="s">
        <v>1535</v>
      </c>
      <c r="D30" s="134" t="s">
        <v>49</v>
      </c>
      <c r="E30" s="135"/>
      <c r="G30" s="118" t="s">
        <v>50</v>
      </c>
      <c r="H30" s="118"/>
      <c r="J30" s="118" t="s">
        <v>119</v>
      </c>
      <c r="K30" s="118"/>
      <c r="M30" s="118" t="s">
        <v>121</v>
      </c>
      <c r="N30" s="118"/>
      <c r="P30" s="118" t="s">
        <v>122</v>
      </c>
      <c r="Q30" s="118"/>
      <c r="S30" s="118" t="s">
        <v>120</v>
      </c>
      <c r="T30" s="118"/>
      <c r="V30" s="118" t="s">
        <v>869</v>
      </c>
      <c r="W30" s="118"/>
      <c r="Y30" s="118" t="s">
        <v>1080</v>
      </c>
      <c r="Z30" s="118"/>
      <c r="AB30" s="118" t="s">
        <v>1211</v>
      </c>
      <c r="AC30" s="118"/>
      <c r="AE30" s="118" t="s">
        <v>1365</v>
      </c>
      <c r="AF30" s="118"/>
      <c r="AH30" s="118" t="str">
        <f>Sprache!M3</f>
        <v>Griechisch</v>
      </c>
      <c r="AI30" s="118"/>
      <c r="AK30" s="118" t="str">
        <f>Sprache!N3</f>
        <v>Rumänisch</v>
      </c>
      <c r="AL30" s="118"/>
      <c r="AN30" s="118" t="str">
        <f>Sprache!O3</f>
        <v>Serbisch</v>
      </c>
      <c r="AO30" s="118"/>
      <c r="AQ30" s="118" t="str">
        <f>Sprache!P3</f>
        <v>Finnisch</v>
      </c>
      <c r="AR30" s="118"/>
      <c r="AT30" s="118" t="str">
        <f>Sprache!Q3</f>
        <v>#15</v>
      </c>
      <c r="AU30" s="118"/>
      <c r="AW30" s="118" t="str">
        <f>Sprache!R3</f>
        <v>#16</v>
      </c>
      <c r="AX30" s="118"/>
      <c r="AZ30" s="118" t="str">
        <f>Sprache!S3</f>
        <v>#17</v>
      </c>
      <c r="BA30" s="118"/>
      <c r="BC30" s="118" t="str">
        <f>Sprache!T3</f>
        <v>#18</v>
      </c>
      <c r="BD30" s="118"/>
      <c r="BF30" s="118" t="str">
        <f>Sprache!U3</f>
        <v>#19</v>
      </c>
      <c r="BG30" s="118"/>
      <c r="BI30" s="118" t="str">
        <f>Sprache!V3</f>
        <v>#20</v>
      </c>
      <c r="BJ30" s="118"/>
    </row>
    <row r="31" spans="1:62" x14ac:dyDescent="0.25">
      <c r="A31" s="162" t="str">
        <f ca="1">IF(LEFT(OFFSET(C31,0,$C$28,1,1),2)="z(","",OFFSET(C31,0,$C$28,1,1))</f>
        <v>ДСП</v>
      </c>
      <c r="B31" s="162">
        <f ca="1">OFFSET(D31,0,$C$28,1,1)</f>
        <v>0.65</v>
      </c>
      <c r="C31" s="124"/>
      <c r="D31" s="138" t="s">
        <v>151</v>
      </c>
      <c r="E31" s="139">
        <v>0.45</v>
      </c>
      <c r="F31" s="124"/>
      <c r="G31" s="122" t="s">
        <v>396</v>
      </c>
      <c r="H31" s="122">
        <v>0.65</v>
      </c>
      <c r="I31" s="124"/>
      <c r="J31" s="122" t="s">
        <v>316</v>
      </c>
      <c r="K31" s="122">
        <v>2.5</v>
      </c>
      <c r="L31" s="124"/>
      <c r="M31" s="122" t="s">
        <v>862</v>
      </c>
      <c r="N31" s="122">
        <v>0.45</v>
      </c>
      <c r="O31" s="125"/>
      <c r="P31" s="122" t="s">
        <v>394</v>
      </c>
      <c r="Q31" s="122">
        <v>0.85</v>
      </c>
      <c r="R31" s="125"/>
      <c r="S31" s="122" t="s">
        <v>571</v>
      </c>
      <c r="T31" s="122">
        <v>0.85</v>
      </c>
      <c r="U31" s="124"/>
      <c r="V31" s="122" t="s">
        <v>975</v>
      </c>
      <c r="W31" s="122">
        <v>0.45</v>
      </c>
      <c r="X31" s="124"/>
      <c r="Y31" s="122" t="s">
        <v>1181</v>
      </c>
      <c r="Z31" s="122">
        <v>2.5</v>
      </c>
      <c r="AA31" s="124"/>
      <c r="AB31" s="122" t="s">
        <v>1307</v>
      </c>
      <c r="AC31" s="122">
        <v>0.85</v>
      </c>
      <c r="AD31" s="124"/>
      <c r="AE31" s="122" t="s">
        <v>1601</v>
      </c>
      <c r="AF31" s="122">
        <v>0.65</v>
      </c>
      <c r="AH31" s="118" t="s">
        <v>1880</v>
      </c>
      <c r="AI31" s="118">
        <v>0.45</v>
      </c>
      <c r="AK31" s="118" t="s">
        <v>2050</v>
      </c>
      <c r="AL31" s="118">
        <v>0.65</v>
      </c>
      <c r="AN31" s="329" t="s">
        <v>396</v>
      </c>
      <c r="AO31" s="118">
        <v>0.65</v>
      </c>
      <c r="AQ31" s="329" t="s">
        <v>2316</v>
      </c>
      <c r="AR31" s="118">
        <v>0.45</v>
      </c>
      <c r="AT31" s="118" t="s">
        <v>1548</v>
      </c>
      <c r="AU31" s="118">
        <v>0.45</v>
      </c>
      <c r="AW31" s="118" t="s">
        <v>1548</v>
      </c>
      <c r="AX31" s="118">
        <v>0.45</v>
      </c>
      <c r="AZ31" s="118" t="s">
        <v>1548</v>
      </c>
      <c r="BA31" s="118">
        <v>0.45</v>
      </c>
      <c r="BC31" s="118" t="s">
        <v>1548</v>
      </c>
      <c r="BD31" s="118">
        <v>0.45</v>
      </c>
      <c r="BF31" s="118" t="s">
        <v>1548</v>
      </c>
      <c r="BG31" s="118">
        <v>0.45</v>
      </c>
      <c r="BI31" s="118" t="s">
        <v>1548</v>
      </c>
      <c r="BJ31" s="118">
        <v>0.45</v>
      </c>
    </row>
    <row r="32" spans="1:62" x14ac:dyDescent="0.25">
      <c r="A32" s="162" t="str">
        <f t="shared" ref="A32:A91" ca="1" si="0">IF(LEFT(OFFSET(C32,0,$C$28,1,1),2)="z(","",OFFSET(C32,0,$C$28,1,1))</f>
        <v>Ель/сосна</v>
      </c>
      <c r="B32" s="162">
        <f t="shared" ref="B32:B91" ca="1" si="1">OFFSET(D32,0,$C$28,1,1)</f>
        <v>0.45</v>
      </c>
      <c r="C32" s="124"/>
      <c r="D32" s="138" t="s">
        <v>110</v>
      </c>
      <c r="E32" s="139">
        <v>2.5</v>
      </c>
      <c r="F32" s="124"/>
      <c r="G32" s="122" t="s">
        <v>643</v>
      </c>
      <c r="H32" s="122">
        <v>2.5</v>
      </c>
      <c r="I32" s="124"/>
      <c r="J32" s="122" t="s">
        <v>724</v>
      </c>
      <c r="K32" s="122">
        <v>0.45</v>
      </c>
      <c r="L32" s="124"/>
      <c r="M32" s="122" t="s">
        <v>861</v>
      </c>
      <c r="N32" s="122">
        <v>0.85</v>
      </c>
      <c r="O32" s="125"/>
      <c r="P32" s="122" t="s">
        <v>395</v>
      </c>
      <c r="Q32" s="122">
        <v>0.65</v>
      </c>
      <c r="R32" s="125"/>
      <c r="S32" s="122" t="s">
        <v>399</v>
      </c>
      <c r="T32" s="122">
        <v>0.45</v>
      </c>
      <c r="U32" s="125"/>
      <c r="V32" s="136" t="s">
        <v>974</v>
      </c>
      <c r="W32" s="122">
        <v>0.65</v>
      </c>
      <c r="X32" s="124"/>
      <c r="Y32" s="122" t="s">
        <v>1180</v>
      </c>
      <c r="Z32" s="122">
        <v>0.45</v>
      </c>
      <c r="AA32" s="124"/>
      <c r="AB32" s="122" t="s">
        <v>1308</v>
      </c>
      <c r="AC32" s="122">
        <v>0.65</v>
      </c>
      <c r="AD32" s="124"/>
      <c r="AE32" s="122" t="s">
        <v>1602</v>
      </c>
      <c r="AF32" s="122">
        <v>0.45</v>
      </c>
      <c r="AH32" s="118" t="s">
        <v>1881</v>
      </c>
      <c r="AI32" s="118">
        <v>0.65</v>
      </c>
      <c r="AK32" s="118" t="s">
        <v>2051</v>
      </c>
      <c r="AL32" s="118">
        <v>2.5</v>
      </c>
      <c r="AN32" s="329" t="s">
        <v>643</v>
      </c>
      <c r="AO32" s="118">
        <v>2.5</v>
      </c>
      <c r="AQ32" s="329" t="s">
        <v>2317</v>
      </c>
      <c r="AR32" s="118">
        <v>2.5</v>
      </c>
      <c r="AT32" s="118" t="s">
        <v>1549</v>
      </c>
      <c r="AU32" s="118">
        <v>0.65</v>
      </c>
      <c r="AW32" s="118" t="s">
        <v>1549</v>
      </c>
      <c r="AX32" s="118">
        <v>0.65</v>
      </c>
      <c r="AZ32" s="118" t="s">
        <v>1549</v>
      </c>
      <c r="BA32" s="118">
        <v>0.65</v>
      </c>
      <c r="BC32" s="118" t="s">
        <v>1549</v>
      </c>
      <c r="BD32" s="118">
        <v>0.65</v>
      </c>
      <c r="BF32" s="118" t="s">
        <v>1549</v>
      </c>
      <c r="BG32" s="118">
        <v>0.65</v>
      </c>
      <c r="BI32" s="118" t="s">
        <v>1549</v>
      </c>
      <c r="BJ32" s="118">
        <v>0.65</v>
      </c>
    </row>
    <row r="33" spans="1:62" x14ac:dyDescent="0.25">
      <c r="A33" s="162" t="str">
        <f t="shared" ca="1" si="0"/>
        <v>Материал МДФ</v>
      </c>
      <c r="B33" s="162">
        <f t="shared" ca="1" si="1"/>
        <v>0.85</v>
      </c>
      <c r="C33" s="124"/>
      <c r="D33" s="138" t="s">
        <v>149</v>
      </c>
      <c r="E33" s="139">
        <v>0.85</v>
      </c>
      <c r="F33" s="124"/>
      <c r="G33" s="122" t="s">
        <v>314</v>
      </c>
      <c r="H33" s="122">
        <v>0.85</v>
      </c>
      <c r="I33" s="124"/>
      <c r="J33" s="122" t="s">
        <v>314</v>
      </c>
      <c r="K33" s="122">
        <v>0.85</v>
      </c>
      <c r="L33" s="124"/>
      <c r="M33" s="122" t="s">
        <v>827</v>
      </c>
      <c r="N33" s="122">
        <v>0.65</v>
      </c>
      <c r="O33" s="125"/>
      <c r="P33" s="122" t="s">
        <v>398</v>
      </c>
      <c r="Q33" s="122">
        <v>0.45</v>
      </c>
      <c r="R33" s="125"/>
      <c r="S33" s="122" t="s">
        <v>1072</v>
      </c>
      <c r="T33" s="122">
        <v>0.65</v>
      </c>
      <c r="U33" s="124"/>
      <c r="V33" s="122" t="s">
        <v>571</v>
      </c>
      <c r="W33" s="122">
        <v>0.85</v>
      </c>
      <c r="X33" s="124"/>
      <c r="Y33" s="122" t="s">
        <v>1178</v>
      </c>
      <c r="Z33" s="122">
        <v>0.85</v>
      </c>
      <c r="AA33" s="124"/>
      <c r="AB33" s="122" t="s">
        <v>1309</v>
      </c>
      <c r="AC33" s="122">
        <v>0.45</v>
      </c>
      <c r="AD33" s="124"/>
      <c r="AE33" s="122" t="s">
        <v>1600</v>
      </c>
      <c r="AF33" s="122">
        <v>0.85</v>
      </c>
      <c r="AH33" s="118" t="s">
        <v>1882</v>
      </c>
      <c r="AI33" s="118">
        <v>2.5</v>
      </c>
      <c r="AK33" s="118" t="s">
        <v>1178</v>
      </c>
      <c r="AL33" s="118">
        <v>0.85</v>
      </c>
      <c r="AN33" s="329" t="s">
        <v>314</v>
      </c>
      <c r="AO33" s="118">
        <v>0.85</v>
      </c>
      <c r="AQ33" s="329" t="s">
        <v>2318</v>
      </c>
      <c r="AR33" s="118">
        <v>0.85</v>
      </c>
      <c r="AT33" s="118" t="s">
        <v>1550</v>
      </c>
      <c r="AU33" s="118">
        <v>2.5</v>
      </c>
      <c r="AW33" s="118" t="s">
        <v>1550</v>
      </c>
      <c r="AX33" s="118">
        <v>2.5</v>
      </c>
      <c r="AZ33" s="118" t="s">
        <v>1550</v>
      </c>
      <c r="BA33" s="118">
        <v>2.5</v>
      </c>
      <c r="BC33" s="118" t="s">
        <v>1550</v>
      </c>
      <c r="BD33" s="118">
        <v>2.5</v>
      </c>
      <c r="BF33" s="118" t="s">
        <v>1550</v>
      </c>
      <c r="BG33" s="118">
        <v>2.5</v>
      </c>
      <c r="BI33" s="118" t="s">
        <v>1550</v>
      </c>
      <c r="BJ33" s="118">
        <v>2.5</v>
      </c>
    </row>
    <row r="34" spans="1:62" x14ac:dyDescent="0.25">
      <c r="A34" s="162" t="str">
        <f t="shared" ca="1" si="0"/>
        <v>Стекло</v>
      </c>
      <c r="B34" s="162">
        <f t="shared" ca="1" si="1"/>
        <v>2.5</v>
      </c>
      <c r="C34" s="124"/>
      <c r="D34" s="138" t="s">
        <v>150</v>
      </c>
      <c r="E34" s="139">
        <v>0.65</v>
      </c>
      <c r="F34" s="124"/>
      <c r="G34" s="122" t="s">
        <v>397</v>
      </c>
      <c r="H34" s="122">
        <v>0.45</v>
      </c>
      <c r="I34" s="124"/>
      <c r="J34" s="122" t="s">
        <v>315</v>
      </c>
      <c r="K34" s="122">
        <v>0.65</v>
      </c>
      <c r="L34" s="124"/>
      <c r="M34" s="122" t="s">
        <v>400</v>
      </c>
      <c r="N34" s="122">
        <v>2.5</v>
      </c>
      <c r="O34" s="125"/>
      <c r="P34" s="122" t="s">
        <v>401</v>
      </c>
      <c r="Q34" s="122">
        <v>2.5</v>
      </c>
      <c r="R34" s="125"/>
      <c r="S34" s="122" t="s">
        <v>402</v>
      </c>
      <c r="T34" s="122">
        <v>2.5</v>
      </c>
      <c r="U34" s="124"/>
      <c r="V34" s="122" t="s">
        <v>976</v>
      </c>
      <c r="W34" s="122">
        <v>2.5</v>
      </c>
      <c r="X34" s="140"/>
      <c r="Y34" s="122" t="s">
        <v>1179</v>
      </c>
      <c r="Z34" s="122">
        <v>0.65</v>
      </c>
      <c r="AA34" s="124"/>
      <c r="AB34" s="122" t="s">
        <v>1310</v>
      </c>
      <c r="AC34" s="122">
        <v>2.5</v>
      </c>
      <c r="AD34" s="124"/>
      <c r="AE34" s="122" t="s">
        <v>1603</v>
      </c>
      <c r="AF34" s="122">
        <v>2.5</v>
      </c>
      <c r="AH34" s="118" t="s">
        <v>1883</v>
      </c>
      <c r="AI34" s="118">
        <v>0.85</v>
      </c>
      <c r="AK34" s="118" t="s">
        <v>2052</v>
      </c>
      <c r="AL34" s="118">
        <v>0.45</v>
      </c>
      <c r="AN34" s="329" t="s">
        <v>397</v>
      </c>
      <c r="AO34" s="118">
        <v>0.45</v>
      </c>
      <c r="AQ34" s="329" t="s">
        <v>2319</v>
      </c>
      <c r="AR34" s="118">
        <v>0.65</v>
      </c>
      <c r="AT34" s="118" t="s">
        <v>1551</v>
      </c>
      <c r="AU34" s="118">
        <v>0.85</v>
      </c>
      <c r="AW34" s="118" t="s">
        <v>1551</v>
      </c>
      <c r="AX34" s="118">
        <v>0.85</v>
      </c>
      <c r="AZ34" s="118" t="s">
        <v>1551</v>
      </c>
      <c r="BA34" s="118">
        <v>0.85</v>
      </c>
      <c r="BC34" s="118" t="s">
        <v>1551</v>
      </c>
      <c r="BD34" s="118">
        <v>0.85</v>
      </c>
      <c r="BF34" s="118" t="s">
        <v>1551</v>
      </c>
      <c r="BG34" s="118">
        <v>0.85</v>
      </c>
      <c r="BI34" s="118" t="s">
        <v>1551</v>
      </c>
      <c r="BJ34" s="118">
        <v>0.85</v>
      </c>
    </row>
    <row r="35" spans="1:62" s="159" customFormat="1" x14ac:dyDescent="0.25">
      <c r="A35" s="163" t="str">
        <f t="shared" ca="1" si="0"/>
        <v>-----------------</v>
      </c>
      <c r="B35" s="163">
        <f t="shared" ca="1" si="1"/>
        <v>0</v>
      </c>
      <c r="C35" s="153"/>
      <c r="D35" s="154" t="s">
        <v>605</v>
      </c>
      <c r="E35" s="155">
        <v>0</v>
      </c>
      <c r="F35" s="154"/>
      <c r="G35" s="156" t="s">
        <v>605</v>
      </c>
      <c r="H35" s="157"/>
      <c r="I35" s="154"/>
      <c r="J35" s="156" t="s">
        <v>605</v>
      </c>
      <c r="K35" s="156">
        <v>0</v>
      </c>
      <c r="L35" s="154"/>
      <c r="M35" s="156" t="s">
        <v>605</v>
      </c>
      <c r="N35" s="156">
        <v>0</v>
      </c>
      <c r="O35" s="154"/>
      <c r="P35" s="156" t="s">
        <v>605</v>
      </c>
      <c r="Q35" s="156">
        <v>0</v>
      </c>
      <c r="R35" s="154"/>
      <c r="S35" s="156" t="s">
        <v>605</v>
      </c>
      <c r="T35" s="156">
        <v>0</v>
      </c>
      <c r="U35" s="154"/>
      <c r="V35" s="156" t="s">
        <v>605</v>
      </c>
      <c r="W35" s="156">
        <v>0</v>
      </c>
      <c r="X35" s="154"/>
      <c r="Y35" s="157"/>
      <c r="Z35" s="157">
        <v>0</v>
      </c>
      <c r="AA35" s="153"/>
      <c r="AB35" s="157"/>
      <c r="AC35" s="157">
        <v>0</v>
      </c>
      <c r="AD35" s="153"/>
      <c r="AE35" s="156" t="s">
        <v>1477</v>
      </c>
      <c r="AF35" s="158">
        <v>0</v>
      </c>
      <c r="AH35" s="158" t="s">
        <v>605</v>
      </c>
      <c r="AI35" s="158">
        <v>0</v>
      </c>
      <c r="AK35" s="158" t="s">
        <v>605</v>
      </c>
      <c r="AL35" s="158"/>
      <c r="AN35" s="156" t="s">
        <v>605</v>
      </c>
      <c r="AO35" s="158">
        <v>0</v>
      </c>
      <c r="AQ35" s="156" t="s">
        <v>605</v>
      </c>
      <c r="AR35" s="158">
        <v>0</v>
      </c>
      <c r="AT35" s="158" t="s">
        <v>605</v>
      </c>
      <c r="AU35" s="158">
        <v>0</v>
      </c>
      <c r="AW35" s="158" t="s">
        <v>605</v>
      </c>
      <c r="AX35" s="158">
        <v>0</v>
      </c>
      <c r="AZ35" s="158" t="s">
        <v>605</v>
      </c>
      <c r="BA35" s="158">
        <v>0</v>
      </c>
      <c r="BC35" s="158" t="s">
        <v>605</v>
      </c>
      <c r="BD35" s="158">
        <v>0</v>
      </c>
      <c r="BF35" s="158" t="s">
        <v>605</v>
      </c>
      <c r="BG35" s="158">
        <v>0</v>
      </c>
      <c r="BI35" s="158" t="s">
        <v>605</v>
      </c>
      <c r="BJ35" s="158">
        <v>0</v>
      </c>
    </row>
    <row r="36" spans="1:62" x14ac:dyDescent="0.25">
      <c r="A36" s="162" t="str">
        <f t="shared" ca="1" si="0"/>
        <v>Американская липа</v>
      </c>
      <c r="B36" s="162">
        <f t="shared" ca="1" si="1"/>
        <v>0.6</v>
      </c>
      <c r="C36" s="124"/>
      <c r="D36" s="141" t="s">
        <v>1039</v>
      </c>
      <c r="E36" s="142">
        <v>0.71</v>
      </c>
      <c r="F36" s="143"/>
      <c r="G36" s="151" t="s">
        <v>606</v>
      </c>
      <c r="H36" s="122">
        <v>0.71</v>
      </c>
      <c r="I36" s="143"/>
      <c r="J36" s="122" t="s">
        <v>1048</v>
      </c>
      <c r="K36" s="122">
        <v>0.41</v>
      </c>
      <c r="L36" s="124"/>
      <c r="M36" s="122" t="s">
        <v>855</v>
      </c>
      <c r="N36" s="122">
        <v>0.41</v>
      </c>
      <c r="O36" s="124"/>
      <c r="P36" s="122" t="s">
        <v>1017</v>
      </c>
      <c r="Q36" s="122">
        <v>0.85</v>
      </c>
      <c r="R36" s="124"/>
      <c r="S36" s="122" t="s">
        <v>1054</v>
      </c>
      <c r="T36" s="122">
        <v>0.67</v>
      </c>
      <c r="U36" s="143"/>
      <c r="V36" s="122" t="s">
        <v>988</v>
      </c>
      <c r="W36" s="122">
        <v>0.45</v>
      </c>
      <c r="X36" s="124"/>
      <c r="Y36" s="122" t="s">
        <v>1189</v>
      </c>
      <c r="Z36" s="122">
        <v>1.3</v>
      </c>
      <c r="AA36" s="124"/>
      <c r="AB36" s="122" t="s">
        <v>1311</v>
      </c>
      <c r="AC36" s="122">
        <v>0.71</v>
      </c>
      <c r="AD36" s="124"/>
      <c r="AE36" s="122" t="s">
        <v>1479</v>
      </c>
      <c r="AF36" s="118">
        <v>0.6</v>
      </c>
      <c r="AH36" s="118" t="s">
        <v>1884</v>
      </c>
      <c r="AI36" s="118">
        <v>0.71</v>
      </c>
      <c r="AK36" s="118" t="s">
        <v>606</v>
      </c>
      <c r="AL36" s="118">
        <v>0.71</v>
      </c>
      <c r="AN36" s="151" t="s">
        <v>606</v>
      </c>
      <c r="AO36" s="118">
        <v>0.71</v>
      </c>
      <c r="AQ36" s="151" t="s">
        <v>606</v>
      </c>
      <c r="AR36" s="118">
        <v>0.71</v>
      </c>
      <c r="AT36" s="118" t="s">
        <v>1538</v>
      </c>
      <c r="AU36" s="118">
        <v>0.71</v>
      </c>
      <c r="AW36" s="118" t="s">
        <v>1538</v>
      </c>
      <c r="AX36" s="118">
        <v>0.71</v>
      </c>
      <c r="AZ36" s="118" t="s">
        <v>1538</v>
      </c>
      <c r="BA36" s="118">
        <v>0.71</v>
      </c>
      <c r="BC36" s="118" t="s">
        <v>1538</v>
      </c>
      <c r="BD36" s="118">
        <v>0.71</v>
      </c>
      <c r="BF36" s="118" t="s">
        <v>1538</v>
      </c>
      <c r="BG36" s="118">
        <v>0.71</v>
      </c>
      <c r="BI36" s="118" t="s">
        <v>1538</v>
      </c>
      <c r="BJ36" s="118">
        <v>0.71</v>
      </c>
    </row>
    <row r="37" spans="1:62" x14ac:dyDescent="0.25">
      <c r="A37" s="162" t="str">
        <f t="shared" ca="1" si="0"/>
        <v>Африканское красное дерево</v>
      </c>
      <c r="B37" s="162">
        <f t="shared" ca="1" si="1"/>
        <v>0.43</v>
      </c>
      <c r="C37" s="124"/>
      <c r="D37" s="138" t="s">
        <v>607</v>
      </c>
      <c r="E37" s="139">
        <v>0.75</v>
      </c>
      <c r="F37" s="124"/>
      <c r="G37" s="151" t="s">
        <v>653</v>
      </c>
      <c r="H37" s="122">
        <v>0.7</v>
      </c>
      <c r="I37" s="143"/>
      <c r="J37" s="122" t="s">
        <v>606</v>
      </c>
      <c r="K37" s="122">
        <v>0.71</v>
      </c>
      <c r="L37" s="124"/>
      <c r="M37" s="122" t="s">
        <v>840</v>
      </c>
      <c r="N37" s="122">
        <v>0.45</v>
      </c>
      <c r="O37" s="124"/>
      <c r="P37" s="122" t="s">
        <v>1039</v>
      </c>
      <c r="Q37" s="122">
        <v>0.71</v>
      </c>
      <c r="R37" s="124"/>
      <c r="S37" s="122" t="s">
        <v>988</v>
      </c>
      <c r="T37" s="122">
        <v>0.41</v>
      </c>
      <c r="U37" s="124"/>
      <c r="V37" s="122" t="s">
        <v>988</v>
      </c>
      <c r="W37" s="122">
        <v>0.41</v>
      </c>
      <c r="X37" s="124"/>
      <c r="Y37" s="122" t="s">
        <v>1183</v>
      </c>
      <c r="Z37" s="122">
        <v>0.6</v>
      </c>
      <c r="AA37" s="124"/>
      <c r="AB37" s="122" t="s">
        <v>1312</v>
      </c>
      <c r="AC37" s="122">
        <v>0.75</v>
      </c>
      <c r="AD37" s="124"/>
      <c r="AE37" s="122" t="s">
        <v>1491</v>
      </c>
      <c r="AF37" s="118">
        <v>0.43</v>
      </c>
      <c r="AH37" s="118" t="s">
        <v>1885</v>
      </c>
      <c r="AI37" s="118">
        <v>0.75</v>
      </c>
      <c r="AK37" s="118" t="s">
        <v>2053</v>
      </c>
      <c r="AL37" s="118">
        <v>0.7</v>
      </c>
      <c r="AN37" s="151" t="s">
        <v>653</v>
      </c>
      <c r="AO37" s="118">
        <v>0.75</v>
      </c>
      <c r="AQ37" s="151" t="s">
        <v>2320</v>
      </c>
      <c r="AR37" s="118">
        <v>0.75</v>
      </c>
      <c r="AT37" s="118" t="s">
        <v>1552</v>
      </c>
      <c r="AU37" s="118">
        <v>0.75</v>
      </c>
      <c r="AW37" s="118" t="s">
        <v>1552</v>
      </c>
      <c r="AX37" s="118">
        <v>0.75</v>
      </c>
      <c r="AZ37" s="118" t="s">
        <v>1552</v>
      </c>
      <c r="BA37" s="118">
        <v>0.75</v>
      </c>
      <c r="BC37" s="118" t="s">
        <v>1552</v>
      </c>
      <c r="BD37" s="118">
        <v>0.75</v>
      </c>
      <c r="BF37" s="118" t="s">
        <v>1552</v>
      </c>
      <c r="BG37" s="118">
        <v>0.75</v>
      </c>
      <c r="BI37" s="118" t="s">
        <v>1552</v>
      </c>
      <c r="BJ37" s="118">
        <v>0.75</v>
      </c>
    </row>
    <row r="38" spans="1:62" x14ac:dyDescent="0.25">
      <c r="A38" s="162" t="str">
        <f t="shared" ca="1" si="0"/>
        <v>Афромозия</v>
      </c>
      <c r="B38" s="162">
        <f t="shared" ca="1" si="1"/>
        <v>0.71</v>
      </c>
      <c r="C38" s="124"/>
      <c r="D38" s="138" t="s">
        <v>608</v>
      </c>
      <c r="E38" s="139">
        <v>0.6</v>
      </c>
      <c r="F38" s="124"/>
      <c r="G38" s="151" t="s">
        <v>646</v>
      </c>
      <c r="H38" s="122">
        <v>0.8</v>
      </c>
      <c r="I38" s="143"/>
      <c r="J38" s="122" t="s">
        <v>735</v>
      </c>
      <c r="K38" s="122">
        <v>0.7</v>
      </c>
      <c r="L38" s="124"/>
      <c r="M38" s="122" t="s">
        <v>828</v>
      </c>
      <c r="N38" s="122">
        <v>0.75</v>
      </c>
      <c r="O38" s="124"/>
      <c r="P38" s="122" t="s">
        <v>1034</v>
      </c>
      <c r="Q38" s="122">
        <v>0.7</v>
      </c>
      <c r="R38" s="124"/>
      <c r="S38" s="151" t="s">
        <v>1039</v>
      </c>
      <c r="T38" s="151">
        <v>0.71</v>
      </c>
      <c r="U38" s="124"/>
      <c r="V38" s="122" t="s">
        <v>977</v>
      </c>
      <c r="W38" s="122">
        <v>0.75</v>
      </c>
      <c r="X38" s="124"/>
      <c r="Y38" s="122" t="s">
        <v>1187</v>
      </c>
      <c r="Z38" s="122">
        <v>0.7</v>
      </c>
      <c r="AA38" s="124"/>
      <c r="AB38" s="122" t="s">
        <v>1313</v>
      </c>
      <c r="AC38" s="122">
        <v>0.6</v>
      </c>
      <c r="AD38" s="124"/>
      <c r="AE38" s="151" t="s">
        <v>1522</v>
      </c>
      <c r="AF38" s="118">
        <v>0.71</v>
      </c>
      <c r="AH38" s="118" t="s">
        <v>1886</v>
      </c>
      <c r="AI38" s="118">
        <v>0.6</v>
      </c>
      <c r="AK38" s="118" t="s">
        <v>2054</v>
      </c>
      <c r="AL38" s="118">
        <v>0.8</v>
      </c>
      <c r="AN38" s="151" t="s">
        <v>646</v>
      </c>
      <c r="AO38" s="118">
        <v>0.6</v>
      </c>
      <c r="AQ38" s="151" t="s">
        <v>2321</v>
      </c>
      <c r="AR38" s="118">
        <v>0.6</v>
      </c>
      <c r="AT38" s="118" t="s">
        <v>1553</v>
      </c>
      <c r="AU38" s="118">
        <v>0.6</v>
      </c>
      <c r="AW38" s="118" t="s">
        <v>1553</v>
      </c>
      <c r="AX38" s="118">
        <v>0.6</v>
      </c>
      <c r="AZ38" s="118" t="s">
        <v>1553</v>
      </c>
      <c r="BA38" s="118">
        <v>0.6</v>
      </c>
      <c r="BC38" s="118" t="s">
        <v>1553</v>
      </c>
      <c r="BD38" s="118">
        <v>0.6</v>
      </c>
      <c r="BF38" s="118" t="s">
        <v>1553</v>
      </c>
      <c r="BG38" s="118">
        <v>0.6</v>
      </c>
      <c r="BI38" s="118" t="s">
        <v>1553</v>
      </c>
      <c r="BJ38" s="118">
        <v>0.6</v>
      </c>
    </row>
    <row r="39" spans="1:62" x14ac:dyDescent="0.25">
      <c r="A39" s="162" t="str">
        <f t="shared" ca="1" si="0"/>
        <v>Бакаут</v>
      </c>
      <c r="B39" s="162">
        <f t="shared" ca="1" si="1"/>
        <v>1.33</v>
      </c>
      <c r="C39" s="124"/>
      <c r="D39" s="138" t="s">
        <v>609</v>
      </c>
      <c r="E39" s="139">
        <v>0.8</v>
      </c>
      <c r="F39" s="124"/>
      <c r="G39" s="151" t="s">
        <v>654</v>
      </c>
      <c r="H39" s="122">
        <v>0.71</v>
      </c>
      <c r="I39" s="143"/>
      <c r="J39" s="122" t="s">
        <v>750</v>
      </c>
      <c r="K39" s="122">
        <v>0.82</v>
      </c>
      <c r="L39" s="124"/>
      <c r="M39" s="122" t="s">
        <v>606</v>
      </c>
      <c r="N39" s="122">
        <v>0.71</v>
      </c>
      <c r="O39" s="124"/>
      <c r="P39" s="122" t="s">
        <v>610</v>
      </c>
      <c r="Q39" s="122">
        <v>0.16</v>
      </c>
      <c r="R39" s="124"/>
      <c r="S39" s="122" t="s">
        <v>1060</v>
      </c>
      <c r="T39" s="122">
        <v>0.42</v>
      </c>
      <c r="U39" s="124"/>
      <c r="V39" s="122" t="s">
        <v>606</v>
      </c>
      <c r="W39" s="122">
        <v>0.71</v>
      </c>
      <c r="X39" s="124"/>
      <c r="Y39" s="122" t="s">
        <v>1185</v>
      </c>
      <c r="Z39" s="122">
        <v>0.4</v>
      </c>
      <c r="AA39" s="124"/>
      <c r="AB39" s="122" t="s">
        <v>1314</v>
      </c>
      <c r="AC39" s="122">
        <v>0.8</v>
      </c>
      <c r="AD39" s="124"/>
      <c r="AE39" s="151" t="s">
        <v>1528</v>
      </c>
      <c r="AF39" s="118">
        <v>1.33</v>
      </c>
      <c r="AH39" s="118" t="s">
        <v>1887</v>
      </c>
      <c r="AI39" s="118">
        <v>0.8</v>
      </c>
      <c r="AK39" s="118" t="s">
        <v>2055</v>
      </c>
      <c r="AL39" s="118">
        <v>0.71</v>
      </c>
      <c r="AN39" s="151" t="s">
        <v>654</v>
      </c>
      <c r="AO39" s="118">
        <v>0.8</v>
      </c>
      <c r="AQ39" s="151" t="s">
        <v>2322</v>
      </c>
      <c r="AR39" s="118">
        <v>0.8</v>
      </c>
      <c r="AT39" s="118" t="s">
        <v>1554</v>
      </c>
      <c r="AU39" s="118">
        <v>0.8</v>
      </c>
      <c r="AW39" s="118" t="s">
        <v>1554</v>
      </c>
      <c r="AX39" s="118">
        <v>0.8</v>
      </c>
      <c r="AZ39" s="118" t="s">
        <v>1554</v>
      </c>
      <c r="BA39" s="118">
        <v>0.8</v>
      </c>
      <c r="BC39" s="118" t="s">
        <v>1554</v>
      </c>
      <c r="BD39" s="118">
        <v>0.8</v>
      </c>
      <c r="BF39" s="118" t="s">
        <v>1554</v>
      </c>
      <c r="BG39" s="118">
        <v>0.8</v>
      </c>
      <c r="BI39" s="118" t="s">
        <v>1554</v>
      </c>
      <c r="BJ39" s="118">
        <v>0.8</v>
      </c>
    </row>
    <row r="40" spans="1:62" x14ac:dyDescent="0.25">
      <c r="A40" s="162" t="str">
        <f t="shared" ca="1" si="0"/>
        <v>Бальза</v>
      </c>
      <c r="B40" s="162">
        <f t="shared" ca="1" si="1"/>
        <v>0.16</v>
      </c>
      <c r="C40" s="124"/>
      <c r="D40" s="138" t="s">
        <v>610</v>
      </c>
      <c r="E40" s="139">
        <v>0.16</v>
      </c>
      <c r="F40" s="124"/>
      <c r="G40" s="151" t="s">
        <v>655</v>
      </c>
      <c r="H40" s="122">
        <v>0.42</v>
      </c>
      <c r="I40" s="143"/>
      <c r="J40" s="122" t="s">
        <v>727</v>
      </c>
      <c r="K40" s="122">
        <v>0.8</v>
      </c>
      <c r="L40" s="124"/>
      <c r="M40" s="122" t="s">
        <v>610</v>
      </c>
      <c r="N40" s="122">
        <v>0.16</v>
      </c>
      <c r="O40" s="124"/>
      <c r="P40" s="122" t="s">
        <v>1030</v>
      </c>
      <c r="Q40" s="122">
        <v>0.4</v>
      </c>
      <c r="R40" s="124"/>
      <c r="S40" s="122" t="s">
        <v>1060</v>
      </c>
      <c r="T40" s="122">
        <v>0.5</v>
      </c>
      <c r="U40" s="124"/>
      <c r="V40" s="122" t="s">
        <v>1002</v>
      </c>
      <c r="W40" s="122">
        <v>0.65</v>
      </c>
      <c r="X40" s="124"/>
      <c r="Y40" s="122" t="s">
        <v>1195</v>
      </c>
      <c r="Z40" s="122">
        <v>0.45</v>
      </c>
      <c r="AA40" s="124"/>
      <c r="AB40" s="122" t="s">
        <v>1315</v>
      </c>
      <c r="AC40" s="122">
        <v>0.16</v>
      </c>
      <c r="AD40" s="124"/>
      <c r="AE40" s="122" t="s">
        <v>1481</v>
      </c>
      <c r="AF40" s="118">
        <v>0.16</v>
      </c>
      <c r="AH40" s="118" t="s">
        <v>1888</v>
      </c>
      <c r="AI40" s="118">
        <v>0.16</v>
      </c>
      <c r="AK40" s="118" t="s">
        <v>655</v>
      </c>
      <c r="AL40" s="118">
        <v>0.42</v>
      </c>
      <c r="AN40" s="151" t="s">
        <v>655</v>
      </c>
      <c r="AO40" s="118">
        <v>0.16</v>
      </c>
      <c r="AQ40" s="151" t="s">
        <v>610</v>
      </c>
      <c r="AR40" s="118">
        <v>0.16</v>
      </c>
      <c r="AT40" s="118" t="s">
        <v>1539</v>
      </c>
      <c r="AU40" s="118">
        <v>0.16</v>
      </c>
      <c r="AW40" s="118" t="s">
        <v>1539</v>
      </c>
      <c r="AX40" s="118">
        <v>0.16</v>
      </c>
      <c r="AZ40" s="118" t="s">
        <v>1539</v>
      </c>
      <c r="BA40" s="118">
        <v>0.16</v>
      </c>
      <c r="BC40" s="118" t="s">
        <v>1539</v>
      </c>
      <c r="BD40" s="118">
        <v>0.16</v>
      </c>
      <c r="BF40" s="118" t="s">
        <v>1539</v>
      </c>
      <c r="BG40" s="118">
        <v>0.16</v>
      </c>
      <c r="BI40" s="118" t="s">
        <v>1539</v>
      </c>
      <c r="BJ40" s="118">
        <v>0.16</v>
      </c>
    </row>
    <row r="41" spans="1:62" x14ac:dyDescent="0.25">
      <c r="A41" s="162" t="str">
        <f t="shared" ca="1" si="0"/>
        <v>Бамбук</v>
      </c>
      <c r="B41" s="162">
        <f t="shared" ca="1" si="1"/>
        <v>0.4</v>
      </c>
      <c r="C41" s="124"/>
      <c r="D41" s="138" t="s">
        <v>611</v>
      </c>
      <c r="E41" s="139">
        <v>0.4</v>
      </c>
      <c r="F41" s="124"/>
      <c r="G41" s="151" t="s">
        <v>610</v>
      </c>
      <c r="H41" s="122">
        <v>0.16</v>
      </c>
      <c r="I41" s="143"/>
      <c r="J41" s="122" t="s">
        <v>736</v>
      </c>
      <c r="K41" s="122">
        <v>0.71</v>
      </c>
      <c r="L41" s="124"/>
      <c r="M41" s="122" t="s">
        <v>831</v>
      </c>
      <c r="N41" s="122">
        <v>0.4</v>
      </c>
      <c r="O41" s="124"/>
      <c r="P41" s="122" t="s">
        <v>1031</v>
      </c>
      <c r="Q41" s="122">
        <v>0.67</v>
      </c>
      <c r="R41" s="124"/>
      <c r="S41" s="122" t="s">
        <v>1068</v>
      </c>
      <c r="T41" s="122">
        <v>0.41</v>
      </c>
      <c r="U41" s="124"/>
      <c r="V41" s="122" t="s">
        <v>987</v>
      </c>
      <c r="W41" s="122">
        <v>0.42</v>
      </c>
      <c r="X41" s="124"/>
      <c r="Y41" s="122" t="s">
        <v>1195</v>
      </c>
      <c r="Z41" s="122">
        <v>0.41</v>
      </c>
      <c r="AA41" s="124"/>
      <c r="AB41" s="122" t="s">
        <v>1316</v>
      </c>
      <c r="AC41" s="122">
        <v>0.4</v>
      </c>
      <c r="AD41" s="124"/>
      <c r="AE41" s="122" t="s">
        <v>1482</v>
      </c>
      <c r="AF41" s="118">
        <v>0.4</v>
      </c>
      <c r="AH41" s="118" t="s">
        <v>1889</v>
      </c>
      <c r="AI41" s="118">
        <v>0.4</v>
      </c>
      <c r="AK41" s="118" t="s">
        <v>610</v>
      </c>
      <c r="AL41" s="118">
        <v>0.16</v>
      </c>
      <c r="AN41" s="151" t="s">
        <v>610</v>
      </c>
      <c r="AO41" s="118">
        <v>0.4</v>
      </c>
      <c r="AQ41" s="151" t="s">
        <v>729</v>
      </c>
      <c r="AR41" s="118">
        <v>0.4</v>
      </c>
      <c r="AT41" s="118" t="s">
        <v>1555</v>
      </c>
      <c r="AU41" s="118">
        <v>0.4</v>
      </c>
      <c r="AW41" s="118" t="s">
        <v>1555</v>
      </c>
      <c r="AX41" s="118">
        <v>0.4</v>
      </c>
      <c r="AZ41" s="118" t="s">
        <v>1555</v>
      </c>
      <c r="BA41" s="118">
        <v>0.4</v>
      </c>
      <c r="BC41" s="118" t="s">
        <v>1555</v>
      </c>
      <c r="BD41" s="118">
        <v>0.4</v>
      </c>
      <c r="BF41" s="118" t="s">
        <v>1555</v>
      </c>
      <c r="BG41" s="118">
        <v>0.4</v>
      </c>
      <c r="BI41" s="118" t="s">
        <v>1555</v>
      </c>
      <c r="BJ41" s="118">
        <v>0.4</v>
      </c>
    </row>
    <row r="42" spans="1:62" x14ac:dyDescent="0.25">
      <c r="A42" s="162" t="str">
        <f t="shared" ca="1" si="0"/>
        <v>Белая акация</v>
      </c>
      <c r="B42" s="162">
        <f t="shared" ca="1" si="1"/>
        <v>0.7</v>
      </c>
      <c r="C42" s="124"/>
      <c r="D42" s="138" t="s">
        <v>612</v>
      </c>
      <c r="E42" s="139">
        <v>0.67</v>
      </c>
      <c r="F42" s="124"/>
      <c r="G42" s="151" t="s">
        <v>647</v>
      </c>
      <c r="H42" s="122">
        <v>0.4</v>
      </c>
      <c r="I42" s="143"/>
      <c r="J42" s="122" t="s">
        <v>737</v>
      </c>
      <c r="K42" s="122">
        <v>0.42</v>
      </c>
      <c r="L42" s="124"/>
      <c r="M42" s="122" t="s">
        <v>832</v>
      </c>
      <c r="N42" s="122">
        <v>0.67</v>
      </c>
      <c r="O42" s="124"/>
      <c r="P42" s="122" t="s">
        <v>1027</v>
      </c>
      <c r="Q42" s="122">
        <v>0.57999999999999996</v>
      </c>
      <c r="R42" s="124"/>
      <c r="S42" s="122" t="s">
        <v>1065</v>
      </c>
      <c r="T42" s="122">
        <v>0.55000000000000004</v>
      </c>
      <c r="U42" s="124"/>
      <c r="V42" s="122" t="s">
        <v>987</v>
      </c>
      <c r="W42" s="122">
        <v>0.5</v>
      </c>
      <c r="X42" s="124"/>
      <c r="Y42" s="122" t="s">
        <v>1204</v>
      </c>
      <c r="Z42" s="122">
        <v>0.83</v>
      </c>
      <c r="AA42" s="124"/>
      <c r="AB42" s="122" t="s">
        <v>1317</v>
      </c>
      <c r="AC42" s="122">
        <v>0.67</v>
      </c>
      <c r="AD42" s="124"/>
      <c r="AE42" s="122" t="s">
        <v>1501</v>
      </c>
      <c r="AF42" s="118">
        <v>0.7</v>
      </c>
      <c r="AH42" s="118" t="s">
        <v>1890</v>
      </c>
      <c r="AI42" s="118">
        <v>0.67</v>
      </c>
      <c r="AK42" s="118" t="s">
        <v>611</v>
      </c>
      <c r="AL42" s="118">
        <v>0.4</v>
      </c>
      <c r="AN42" s="151" t="s">
        <v>647</v>
      </c>
      <c r="AO42" s="118">
        <v>0.67</v>
      </c>
      <c r="AQ42" s="151" t="s">
        <v>2323</v>
      </c>
      <c r="AR42" s="118">
        <v>0.67</v>
      </c>
      <c r="AT42" s="118" t="s">
        <v>1556</v>
      </c>
      <c r="AU42" s="118">
        <v>0.67</v>
      </c>
      <c r="AW42" s="118" t="s">
        <v>1556</v>
      </c>
      <c r="AX42" s="118">
        <v>0.67</v>
      </c>
      <c r="AZ42" s="118" t="s">
        <v>1556</v>
      </c>
      <c r="BA42" s="118">
        <v>0.67</v>
      </c>
      <c r="BC42" s="118" t="s">
        <v>1556</v>
      </c>
      <c r="BD42" s="118">
        <v>0.67</v>
      </c>
      <c r="BF42" s="118" t="s">
        <v>1556</v>
      </c>
      <c r="BG42" s="118">
        <v>0.67</v>
      </c>
      <c r="BI42" s="118" t="s">
        <v>1556</v>
      </c>
      <c r="BJ42" s="118">
        <v>0.67</v>
      </c>
    </row>
    <row r="43" spans="1:62" x14ac:dyDescent="0.25">
      <c r="A43" s="162" t="str">
        <f t="shared" ca="1" si="0"/>
        <v>Береза</v>
      </c>
      <c r="B43" s="162">
        <f t="shared" ca="1" si="1"/>
        <v>0.67</v>
      </c>
      <c r="C43" s="124"/>
      <c r="D43" s="138" t="s">
        <v>613</v>
      </c>
      <c r="E43" s="139">
        <v>0.7</v>
      </c>
      <c r="F43" s="124"/>
      <c r="G43" s="151" t="s">
        <v>645</v>
      </c>
      <c r="H43" s="122">
        <v>0.6</v>
      </c>
      <c r="I43" s="143"/>
      <c r="J43" s="122" t="s">
        <v>728</v>
      </c>
      <c r="K43" s="122">
        <v>0.16</v>
      </c>
      <c r="L43" s="124"/>
      <c r="M43" s="122" t="s">
        <v>843</v>
      </c>
      <c r="N43" s="122">
        <v>0.56000000000000005</v>
      </c>
      <c r="O43" s="124"/>
      <c r="P43" s="122" t="s">
        <v>1037</v>
      </c>
      <c r="Q43" s="122">
        <v>0.63</v>
      </c>
      <c r="R43" s="124"/>
      <c r="S43" s="122" t="s">
        <v>1058</v>
      </c>
      <c r="T43" s="122">
        <v>0.7</v>
      </c>
      <c r="U43" s="124"/>
      <c r="V43" s="122" t="s">
        <v>997</v>
      </c>
      <c r="W43" s="122">
        <v>0.41</v>
      </c>
      <c r="X43" s="124"/>
      <c r="Y43" s="122" t="s">
        <v>1191</v>
      </c>
      <c r="Z43" s="122">
        <v>0.71</v>
      </c>
      <c r="AA43" s="124"/>
      <c r="AB43" s="122" t="s">
        <v>1318</v>
      </c>
      <c r="AC43" s="122">
        <v>0.7</v>
      </c>
      <c r="AD43" s="124"/>
      <c r="AE43" s="122" t="s">
        <v>1483</v>
      </c>
      <c r="AF43" s="118">
        <v>0.67</v>
      </c>
      <c r="AH43" s="118" t="s">
        <v>1891</v>
      </c>
      <c r="AI43" s="118">
        <v>0.7</v>
      </c>
      <c r="AK43" s="118" t="s">
        <v>2056</v>
      </c>
      <c r="AL43" s="118">
        <v>0.6</v>
      </c>
      <c r="AN43" s="151" t="s">
        <v>645</v>
      </c>
      <c r="AO43" s="118">
        <v>0.7</v>
      </c>
      <c r="AQ43" s="151" t="s">
        <v>2324</v>
      </c>
      <c r="AR43" s="118">
        <v>0.7</v>
      </c>
      <c r="AT43" s="118" t="s">
        <v>1557</v>
      </c>
      <c r="AU43" s="118">
        <v>0.7</v>
      </c>
      <c r="AW43" s="118" t="s">
        <v>1557</v>
      </c>
      <c r="AX43" s="118">
        <v>0.7</v>
      </c>
      <c r="AZ43" s="118" t="s">
        <v>1557</v>
      </c>
      <c r="BA43" s="118">
        <v>0.7</v>
      </c>
      <c r="BC43" s="118" t="s">
        <v>1557</v>
      </c>
      <c r="BD43" s="118">
        <v>0.7</v>
      </c>
      <c r="BF43" s="118" t="s">
        <v>1557</v>
      </c>
      <c r="BG43" s="118">
        <v>0.7</v>
      </c>
      <c r="BI43" s="118" t="s">
        <v>1557</v>
      </c>
      <c r="BJ43" s="118">
        <v>0.7</v>
      </c>
    </row>
    <row r="44" spans="1:62" x14ac:dyDescent="0.25">
      <c r="A44" s="162" t="str">
        <f t="shared" ca="1" si="0"/>
        <v>Бук</v>
      </c>
      <c r="B44" s="162">
        <f t="shared" ca="1" si="1"/>
        <v>0.9</v>
      </c>
      <c r="C44" s="124"/>
      <c r="D44" s="138" t="s">
        <v>614</v>
      </c>
      <c r="E44" s="139">
        <v>0.9</v>
      </c>
      <c r="F44" s="124"/>
      <c r="G44" s="151" t="s">
        <v>650</v>
      </c>
      <c r="H44" s="122">
        <v>0.9</v>
      </c>
      <c r="I44" s="143"/>
      <c r="J44" s="122" t="s">
        <v>729</v>
      </c>
      <c r="K44" s="122">
        <v>0.4</v>
      </c>
      <c r="L44" s="124"/>
      <c r="M44" s="122" t="s">
        <v>859</v>
      </c>
      <c r="N44" s="122">
        <v>0.57999999999999996</v>
      </c>
      <c r="O44" s="124"/>
      <c r="P44" s="122" t="s">
        <v>1047</v>
      </c>
      <c r="Q44" s="122">
        <v>0.51</v>
      </c>
      <c r="R44" s="124"/>
      <c r="S44" s="122" t="s">
        <v>1050</v>
      </c>
      <c r="T44" s="122">
        <v>0.75</v>
      </c>
      <c r="U44" s="124"/>
      <c r="V44" s="122" t="s">
        <v>985</v>
      </c>
      <c r="W44" s="122">
        <v>0.7</v>
      </c>
      <c r="X44" s="124"/>
      <c r="Y44" s="122" t="s">
        <v>1184</v>
      </c>
      <c r="Z44" s="122">
        <v>0.8</v>
      </c>
      <c r="AA44" s="124"/>
      <c r="AB44" s="122" t="s">
        <v>1319</v>
      </c>
      <c r="AC44" s="122">
        <v>0.9</v>
      </c>
      <c r="AD44" s="124"/>
      <c r="AE44" s="122" t="s">
        <v>1485</v>
      </c>
      <c r="AF44" s="118">
        <v>0.9</v>
      </c>
      <c r="AH44" s="118" t="s">
        <v>1892</v>
      </c>
      <c r="AI44" s="118">
        <v>0.9</v>
      </c>
      <c r="AK44" s="118" t="s">
        <v>2057</v>
      </c>
      <c r="AL44" s="118">
        <v>0.9</v>
      </c>
      <c r="AN44" s="151" t="s">
        <v>650</v>
      </c>
      <c r="AO44" s="118">
        <v>0.9</v>
      </c>
      <c r="AQ44" s="151" t="s">
        <v>2325</v>
      </c>
      <c r="AR44" s="118">
        <v>0.9</v>
      </c>
      <c r="AT44" s="118" t="s">
        <v>1558</v>
      </c>
      <c r="AU44" s="118">
        <v>0.9</v>
      </c>
      <c r="AW44" s="118" t="s">
        <v>1558</v>
      </c>
      <c r="AX44" s="118">
        <v>0.9</v>
      </c>
      <c r="AZ44" s="118" t="s">
        <v>1558</v>
      </c>
      <c r="BA44" s="118">
        <v>0.9</v>
      </c>
      <c r="BC44" s="118" t="s">
        <v>1558</v>
      </c>
      <c r="BD44" s="118">
        <v>0.9</v>
      </c>
      <c r="BF44" s="118" t="s">
        <v>1558</v>
      </c>
      <c r="BG44" s="118">
        <v>0.9</v>
      </c>
      <c r="BI44" s="118" t="s">
        <v>1558</v>
      </c>
      <c r="BJ44" s="118">
        <v>0.9</v>
      </c>
    </row>
    <row r="45" spans="1:62" x14ac:dyDescent="0.25">
      <c r="A45" s="162" t="str">
        <f t="shared" ca="1" si="0"/>
        <v>Вишня</v>
      </c>
      <c r="B45" s="162">
        <f t="shared" ca="1" si="1"/>
        <v>0.63</v>
      </c>
      <c r="C45" s="124"/>
      <c r="D45" s="138" t="s">
        <v>615</v>
      </c>
      <c r="E45" s="139">
        <v>0.53</v>
      </c>
      <c r="F45" s="124"/>
      <c r="G45" s="151" t="s">
        <v>648</v>
      </c>
      <c r="H45" s="122">
        <v>0.67</v>
      </c>
      <c r="I45" s="143"/>
      <c r="J45" s="122" t="s">
        <v>730</v>
      </c>
      <c r="K45" s="122">
        <v>0.67</v>
      </c>
      <c r="L45" s="124"/>
      <c r="M45" s="122" t="s">
        <v>845</v>
      </c>
      <c r="N45" s="122">
        <v>0.63</v>
      </c>
      <c r="O45" s="124"/>
      <c r="P45" s="122" t="s">
        <v>1033</v>
      </c>
      <c r="Q45" s="122">
        <v>1.3</v>
      </c>
      <c r="R45" s="124"/>
      <c r="S45" s="122" t="s">
        <v>610</v>
      </c>
      <c r="T45" s="122">
        <v>0.16</v>
      </c>
      <c r="U45" s="124"/>
      <c r="V45" s="122" t="s">
        <v>998</v>
      </c>
      <c r="W45" s="122">
        <v>0.77</v>
      </c>
      <c r="X45" s="124"/>
      <c r="Y45" s="122" t="s">
        <v>1186</v>
      </c>
      <c r="Z45" s="122">
        <v>0.67</v>
      </c>
      <c r="AA45" s="124"/>
      <c r="AB45" s="122" t="s">
        <v>1320</v>
      </c>
      <c r="AC45" s="122">
        <v>0.53</v>
      </c>
      <c r="AD45" s="124"/>
      <c r="AE45" s="122" t="s">
        <v>1494</v>
      </c>
      <c r="AF45" s="118">
        <v>0.63</v>
      </c>
      <c r="AH45" s="118" t="s">
        <v>1893</v>
      </c>
      <c r="AI45" s="118">
        <v>0.53</v>
      </c>
      <c r="AK45" s="118" t="s">
        <v>2058</v>
      </c>
      <c r="AL45" s="118">
        <v>0.67</v>
      </c>
      <c r="AN45" s="151" t="s">
        <v>648</v>
      </c>
      <c r="AO45" s="118">
        <v>0.53</v>
      </c>
      <c r="AQ45" s="151" t="s">
        <v>2326</v>
      </c>
      <c r="AR45" s="118">
        <v>0.53</v>
      </c>
      <c r="AT45" s="118" t="s">
        <v>1540</v>
      </c>
      <c r="AU45" s="118">
        <v>0.53</v>
      </c>
      <c r="AW45" s="118" t="s">
        <v>1540</v>
      </c>
      <c r="AX45" s="118">
        <v>0.53</v>
      </c>
      <c r="AZ45" s="118" t="s">
        <v>1540</v>
      </c>
      <c r="BA45" s="118">
        <v>0.53</v>
      </c>
      <c r="BC45" s="118" t="s">
        <v>1540</v>
      </c>
      <c r="BD45" s="118">
        <v>0.53</v>
      </c>
      <c r="BF45" s="118" t="s">
        <v>1540</v>
      </c>
      <c r="BG45" s="118">
        <v>0.53</v>
      </c>
      <c r="BI45" s="118" t="s">
        <v>1540</v>
      </c>
      <c r="BJ45" s="118">
        <v>0.53</v>
      </c>
    </row>
    <row r="46" spans="1:62" x14ac:dyDescent="0.25">
      <c r="A46" s="162" t="str">
        <f t="shared" ca="1" si="0"/>
        <v>Вяз</v>
      </c>
      <c r="B46" s="162">
        <f t="shared" ca="1" si="1"/>
        <v>0.82</v>
      </c>
      <c r="C46" s="124"/>
      <c r="D46" s="138" t="s">
        <v>616</v>
      </c>
      <c r="E46" s="139">
        <v>1.3</v>
      </c>
      <c r="F46" s="124"/>
      <c r="G46" s="151" t="s">
        <v>675</v>
      </c>
      <c r="H46" s="122">
        <v>0.57999999999999996</v>
      </c>
      <c r="I46" s="143"/>
      <c r="J46" s="122" t="s">
        <v>732</v>
      </c>
      <c r="K46" s="122">
        <v>0.9</v>
      </c>
      <c r="L46" s="124"/>
      <c r="M46" s="122" t="s">
        <v>860</v>
      </c>
      <c r="N46" s="122">
        <v>0.51</v>
      </c>
      <c r="O46" s="124"/>
      <c r="P46" s="122" t="s">
        <v>1024</v>
      </c>
      <c r="Q46" s="122">
        <v>0.71</v>
      </c>
      <c r="R46" s="124"/>
      <c r="S46" s="122" t="s">
        <v>1053</v>
      </c>
      <c r="T46" s="122">
        <v>0.4</v>
      </c>
      <c r="U46" s="124"/>
      <c r="V46" s="122" t="s">
        <v>610</v>
      </c>
      <c r="W46" s="122">
        <v>0.16</v>
      </c>
      <c r="X46" s="124"/>
      <c r="Y46" s="122" t="s">
        <v>1182</v>
      </c>
      <c r="Z46" s="122">
        <v>0.75</v>
      </c>
      <c r="AA46" s="124"/>
      <c r="AB46" s="122" t="s">
        <v>1321</v>
      </c>
      <c r="AC46" s="122">
        <v>1.3</v>
      </c>
      <c r="AD46" s="124"/>
      <c r="AE46" s="122" t="s">
        <v>1503</v>
      </c>
      <c r="AF46" s="118">
        <v>0.82</v>
      </c>
      <c r="AH46" s="118" t="s">
        <v>1894</v>
      </c>
      <c r="AI46" s="118">
        <v>1.3</v>
      </c>
      <c r="AK46" s="118" t="s">
        <v>2059</v>
      </c>
      <c r="AL46" s="118">
        <v>0.57999999999999996</v>
      </c>
      <c r="AN46" s="151" t="s">
        <v>675</v>
      </c>
      <c r="AO46" s="118">
        <v>1.3</v>
      </c>
      <c r="AQ46" s="151" t="s">
        <v>2327</v>
      </c>
      <c r="AR46" s="118">
        <v>1.3</v>
      </c>
      <c r="AT46" s="118" t="s">
        <v>1559</v>
      </c>
      <c r="AU46" s="118">
        <v>1.3</v>
      </c>
      <c r="AW46" s="118" t="s">
        <v>1559</v>
      </c>
      <c r="AX46" s="118">
        <v>1.3</v>
      </c>
      <c r="AZ46" s="118" t="s">
        <v>1559</v>
      </c>
      <c r="BA46" s="118">
        <v>1.3</v>
      </c>
      <c r="BC46" s="118" t="s">
        <v>1559</v>
      </c>
      <c r="BD46" s="118">
        <v>1.3</v>
      </c>
      <c r="BF46" s="118" t="s">
        <v>1559</v>
      </c>
      <c r="BG46" s="118">
        <v>1.3</v>
      </c>
      <c r="BI46" s="118" t="s">
        <v>1559</v>
      </c>
      <c r="BJ46" s="118">
        <v>1.3</v>
      </c>
    </row>
    <row r="47" spans="1:62" x14ac:dyDescent="0.25">
      <c r="A47" s="162" t="str">
        <f t="shared" ca="1" si="0"/>
        <v>Груша</v>
      </c>
      <c r="B47" s="162">
        <f t="shared" ca="1" si="1"/>
        <v>0.7</v>
      </c>
      <c r="C47" s="124"/>
      <c r="D47" s="138" t="s">
        <v>617</v>
      </c>
      <c r="E47" s="139">
        <v>0.7</v>
      </c>
      <c r="F47" s="124"/>
      <c r="G47" s="151" t="s">
        <v>660</v>
      </c>
      <c r="H47" s="122">
        <v>0.63</v>
      </c>
      <c r="I47" s="143"/>
      <c r="J47" s="122" t="s">
        <v>753</v>
      </c>
      <c r="K47" s="122">
        <v>0.57999999999999996</v>
      </c>
      <c r="L47" s="124"/>
      <c r="M47" s="122" t="s">
        <v>835</v>
      </c>
      <c r="N47" s="122">
        <v>0.53</v>
      </c>
      <c r="O47" s="124"/>
      <c r="P47" s="122" t="s">
        <v>739</v>
      </c>
      <c r="Q47" s="122">
        <v>0.43</v>
      </c>
      <c r="R47" s="124"/>
      <c r="S47" s="122" t="s">
        <v>1066</v>
      </c>
      <c r="T47" s="122">
        <v>0.85</v>
      </c>
      <c r="U47" s="124"/>
      <c r="V47" s="122" t="s">
        <v>729</v>
      </c>
      <c r="W47" s="122">
        <v>0.4</v>
      </c>
      <c r="X47" s="124"/>
      <c r="Y47" s="122" t="s">
        <v>1203</v>
      </c>
      <c r="Z47" s="122">
        <v>0.82</v>
      </c>
      <c r="AA47" s="124"/>
      <c r="AB47" s="122" t="s">
        <v>1322</v>
      </c>
      <c r="AC47" s="122">
        <v>0.7</v>
      </c>
      <c r="AD47" s="124"/>
      <c r="AE47" s="122" t="s">
        <v>1484</v>
      </c>
      <c r="AF47" s="118">
        <v>0.7</v>
      </c>
      <c r="AH47" s="118" t="s">
        <v>1895</v>
      </c>
      <c r="AI47" s="118">
        <v>0.7</v>
      </c>
      <c r="AK47" s="118" t="s">
        <v>2060</v>
      </c>
      <c r="AL47" s="118">
        <v>0.63</v>
      </c>
      <c r="AN47" s="151" t="s">
        <v>660</v>
      </c>
      <c r="AO47" s="118">
        <v>0.7</v>
      </c>
      <c r="AQ47" s="151" t="s">
        <v>2328</v>
      </c>
      <c r="AR47" s="118">
        <v>0.7</v>
      </c>
      <c r="AT47" s="118" t="s">
        <v>1560</v>
      </c>
      <c r="AU47" s="118">
        <v>0.7</v>
      </c>
      <c r="AW47" s="118" t="s">
        <v>1560</v>
      </c>
      <c r="AX47" s="118">
        <v>0.7</v>
      </c>
      <c r="AZ47" s="118" t="s">
        <v>1560</v>
      </c>
      <c r="BA47" s="118">
        <v>0.7</v>
      </c>
      <c r="BC47" s="118" t="s">
        <v>1560</v>
      </c>
      <c r="BD47" s="118">
        <v>0.7</v>
      </c>
      <c r="BF47" s="118" t="s">
        <v>1560</v>
      </c>
      <c r="BG47" s="118">
        <v>0.7</v>
      </c>
      <c r="BI47" s="118" t="s">
        <v>1560</v>
      </c>
      <c r="BJ47" s="118">
        <v>0.7</v>
      </c>
    </row>
    <row r="48" spans="1:62" x14ac:dyDescent="0.25">
      <c r="A48" s="162" t="str">
        <f t="shared" ca="1" si="0"/>
        <v>ДСП</v>
      </c>
      <c r="B48" s="162">
        <f t="shared" ca="1" si="1"/>
        <v>0.65</v>
      </c>
      <c r="C48" s="124"/>
      <c r="D48" s="138" t="s">
        <v>618</v>
      </c>
      <c r="E48" s="139">
        <v>0.71</v>
      </c>
      <c r="F48" s="124"/>
      <c r="G48" s="151" t="s">
        <v>658</v>
      </c>
      <c r="H48" s="122">
        <v>0.56000000000000005</v>
      </c>
      <c r="I48" s="143"/>
      <c r="J48" s="122" t="s">
        <v>676</v>
      </c>
      <c r="K48" s="122">
        <v>0.51</v>
      </c>
      <c r="L48" s="124"/>
      <c r="M48" s="122" t="s">
        <v>836</v>
      </c>
      <c r="N48" s="122">
        <v>1.3</v>
      </c>
      <c r="O48" s="124"/>
      <c r="P48" s="122" t="s">
        <v>1043</v>
      </c>
      <c r="Q48" s="122">
        <v>1.33</v>
      </c>
      <c r="R48" s="124"/>
      <c r="S48" s="122" t="s">
        <v>1063</v>
      </c>
      <c r="T48" s="122">
        <v>0.56000000000000005</v>
      </c>
      <c r="U48" s="124"/>
      <c r="V48" s="122" t="s">
        <v>980</v>
      </c>
      <c r="W48" s="122">
        <v>0.67</v>
      </c>
      <c r="X48" s="124"/>
      <c r="Y48" s="122" t="s">
        <v>1197</v>
      </c>
      <c r="Z48" s="122">
        <v>0.55000000000000004</v>
      </c>
      <c r="AA48" s="124"/>
      <c r="AB48" s="122" t="s">
        <v>1323</v>
      </c>
      <c r="AC48" s="122">
        <v>0.71</v>
      </c>
      <c r="AD48" s="124"/>
      <c r="AE48" s="151" t="s">
        <v>1476</v>
      </c>
      <c r="AF48" s="118">
        <v>0.65</v>
      </c>
      <c r="AH48" s="118" t="s">
        <v>1886</v>
      </c>
      <c r="AI48" s="118">
        <v>0.71</v>
      </c>
      <c r="AK48" s="118" t="s">
        <v>2061</v>
      </c>
      <c r="AL48" s="118">
        <v>0.56000000000000005</v>
      </c>
      <c r="AN48" s="151" t="s">
        <v>658</v>
      </c>
      <c r="AO48" s="118">
        <v>0.71</v>
      </c>
      <c r="AQ48" s="151" t="s">
        <v>2329</v>
      </c>
      <c r="AR48" s="118">
        <v>0.71</v>
      </c>
      <c r="AT48" s="118" t="s">
        <v>1561</v>
      </c>
      <c r="AU48" s="118">
        <v>0.71</v>
      </c>
      <c r="AW48" s="118" t="s">
        <v>1561</v>
      </c>
      <c r="AX48" s="118">
        <v>0.71</v>
      </c>
      <c r="AZ48" s="118" t="s">
        <v>1561</v>
      </c>
      <c r="BA48" s="118">
        <v>0.71</v>
      </c>
      <c r="BC48" s="118" t="s">
        <v>1561</v>
      </c>
      <c r="BD48" s="118">
        <v>0.71</v>
      </c>
      <c r="BF48" s="118" t="s">
        <v>1561</v>
      </c>
      <c r="BG48" s="118">
        <v>0.71</v>
      </c>
      <c r="BI48" s="118" t="s">
        <v>1561</v>
      </c>
      <c r="BJ48" s="118">
        <v>0.71</v>
      </c>
    </row>
    <row r="49" spans="1:62" x14ac:dyDescent="0.25">
      <c r="A49" s="162" t="str">
        <f t="shared" ca="1" si="0"/>
        <v>Дугласия</v>
      </c>
      <c r="B49" s="162">
        <f t="shared" ca="1" si="1"/>
        <v>0.53</v>
      </c>
      <c r="C49" s="124"/>
      <c r="D49" s="138" t="s">
        <v>619</v>
      </c>
      <c r="E49" s="139">
        <v>0.42</v>
      </c>
      <c r="F49" s="124"/>
      <c r="G49" s="151" t="s">
        <v>665</v>
      </c>
      <c r="H49" s="122">
        <v>0.41</v>
      </c>
      <c r="I49" s="143"/>
      <c r="J49" s="122" t="s">
        <v>733</v>
      </c>
      <c r="K49" s="122">
        <v>0.53</v>
      </c>
      <c r="L49" s="124"/>
      <c r="M49" s="122" t="s">
        <v>834</v>
      </c>
      <c r="N49" s="122">
        <v>0.9</v>
      </c>
      <c r="O49" s="124"/>
      <c r="P49" s="122" t="s">
        <v>622</v>
      </c>
      <c r="Q49" s="122">
        <v>0.5</v>
      </c>
      <c r="R49" s="124"/>
      <c r="S49" s="122" t="s">
        <v>859</v>
      </c>
      <c r="T49" s="122">
        <v>0.57999999999999996</v>
      </c>
      <c r="U49" s="124"/>
      <c r="V49" s="122" t="s">
        <v>991</v>
      </c>
      <c r="W49" s="122">
        <v>0.56000000000000005</v>
      </c>
      <c r="X49" s="124"/>
      <c r="Y49" s="122" t="s">
        <v>1192</v>
      </c>
      <c r="Z49" s="122">
        <v>0.42</v>
      </c>
      <c r="AA49" s="124"/>
      <c r="AB49" s="122" t="s">
        <v>1324</v>
      </c>
      <c r="AC49" s="122">
        <v>0.42</v>
      </c>
      <c r="AD49" s="124"/>
      <c r="AE49" s="122" t="s">
        <v>1486</v>
      </c>
      <c r="AF49" s="118">
        <v>0.53</v>
      </c>
      <c r="AH49" s="118" t="s">
        <v>1896</v>
      </c>
      <c r="AI49" s="118">
        <v>0.42</v>
      </c>
      <c r="AK49" s="118" t="s">
        <v>2062</v>
      </c>
      <c r="AL49" s="118">
        <v>0.41</v>
      </c>
      <c r="AN49" s="151" t="s">
        <v>665</v>
      </c>
      <c r="AO49" s="118">
        <v>0.42</v>
      </c>
      <c r="AQ49" s="151" t="s">
        <v>2330</v>
      </c>
      <c r="AR49" s="118">
        <v>0.42</v>
      </c>
      <c r="AT49" s="118" t="s">
        <v>1562</v>
      </c>
      <c r="AU49" s="118">
        <v>0.42</v>
      </c>
      <c r="AW49" s="118" t="s">
        <v>1562</v>
      </c>
      <c r="AX49" s="118">
        <v>0.42</v>
      </c>
      <c r="AZ49" s="118" t="s">
        <v>1562</v>
      </c>
      <c r="BA49" s="118">
        <v>0.42</v>
      </c>
      <c r="BC49" s="118" t="s">
        <v>1562</v>
      </c>
      <c r="BD49" s="118">
        <v>0.42</v>
      </c>
      <c r="BF49" s="118" t="s">
        <v>1562</v>
      </c>
      <c r="BG49" s="118">
        <v>0.42</v>
      </c>
      <c r="BI49" s="118" t="s">
        <v>1562</v>
      </c>
      <c r="BJ49" s="118">
        <v>0.42</v>
      </c>
    </row>
    <row r="50" spans="1:62" x14ac:dyDescent="0.25">
      <c r="A50" s="162" t="str">
        <f t="shared" ca="1" si="0"/>
        <v>Ель</v>
      </c>
      <c r="B50" s="162">
        <f t="shared" ca="1" si="1"/>
        <v>0.45</v>
      </c>
      <c r="C50" s="124"/>
      <c r="D50" s="141" t="s">
        <v>620</v>
      </c>
      <c r="E50" s="144">
        <v>0.45</v>
      </c>
      <c r="F50" s="143"/>
      <c r="G50" s="151" t="s">
        <v>676</v>
      </c>
      <c r="H50" s="122">
        <v>0.51</v>
      </c>
      <c r="I50" s="143"/>
      <c r="J50" s="122" t="s">
        <v>734</v>
      </c>
      <c r="K50" s="122">
        <v>1.3</v>
      </c>
      <c r="L50" s="124"/>
      <c r="M50" s="122" t="s">
        <v>838</v>
      </c>
      <c r="N50" s="122">
        <v>0.71</v>
      </c>
      <c r="O50" s="124"/>
      <c r="P50" s="122" t="s">
        <v>1023</v>
      </c>
      <c r="Q50" s="122">
        <v>0.9</v>
      </c>
      <c r="R50" s="124"/>
      <c r="S50" s="122" t="s">
        <v>1064</v>
      </c>
      <c r="T50" s="122">
        <v>0.63</v>
      </c>
      <c r="U50" s="124"/>
      <c r="V50" s="122" t="s">
        <v>1006</v>
      </c>
      <c r="W50" s="122">
        <v>0.57999999999999996</v>
      </c>
      <c r="X50" s="124"/>
      <c r="Y50" s="122" t="s">
        <v>1200</v>
      </c>
      <c r="Z50" s="122">
        <v>0.5</v>
      </c>
      <c r="AA50" s="124"/>
      <c r="AB50" s="122" t="s">
        <v>1325</v>
      </c>
      <c r="AC50" s="122">
        <v>0.45</v>
      </c>
      <c r="AD50" s="124"/>
      <c r="AE50" s="151" t="s">
        <v>1523</v>
      </c>
      <c r="AF50" s="118">
        <v>0.45</v>
      </c>
      <c r="AH50" s="118" t="s">
        <v>1897</v>
      </c>
      <c r="AI50" s="118">
        <v>0.45</v>
      </c>
      <c r="AK50" s="118" t="s">
        <v>2063</v>
      </c>
      <c r="AL50" s="118">
        <v>0.51</v>
      </c>
      <c r="AN50" s="151" t="s">
        <v>676</v>
      </c>
      <c r="AO50" s="118">
        <v>0.45</v>
      </c>
      <c r="AQ50" s="151" t="s">
        <v>2331</v>
      </c>
      <c r="AR50" s="118">
        <v>0.45</v>
      </c>
      <c r="AT50" s="118" t="s">
        <v>1563</v>
      </c>
      <c r="AU50" s="118">
        <v>0.45</v>
      </c>
      <c r="AW50" s="118" t="s">
        <v>1563</v>
      </c>
      <c r="AX50" s="118">
        <v>0.45</v>
      </c>
      <c r="AZ50" s="118" t="s">
        <v>1563</v>
      </c>
      <c r="BA50" s="118">
        <v>0.45</v>
      </c>
      <c r="BC50" s="118" t="s">
        <v>1563</v>
      </c>
      <c r="BD50" s="118">
        <v>0.45</v>
      </c>
      <c r="BF50" s="118" t="s">
        <v>1563</v>
      </c>
      <c r="BG50" s="118">
        <v>0.45</v>
      </c>
      <c r="BI50" s="118" t="s">
        <v>1563</v>
      </c>
      <c r="BJ50" s="118">
        <v>0.45</v>
      </c>
    </row>
    <row r="51" spans="1:62" x14ac:dyDescent="0.25">
      <c r="A51" s="162" t="str">
        <f t="shared" ca="1" si="0"/>
        <v>Ива</v>
      </c>
      <c r="B51" s="162">
        <f t="shared" ca="1" si="1"/>
        <v>0.6</v>
      </c>
      <c r="C51" s="124"/>
      <c r="D51" s="138" t="s">
        <v>621</v>
      </c>
      <c r="E51" s="139">
        <v>0.43</v>
      </c>
      <c r="F51" s="124"/>
      <c r="G51" s="151" t="s">
        <v>651</v>
      </c>
      <c r="H51" s="122">
        <v>0.53</v>
      </c>
      <c r="I51" s="143"/>
      <c r="J51" s="122" t="s">
        <v>741</v>
      </c>
      <c r="K51" s="122">
        <v>0.45</v>
      </c>
      <c r="L51" s="124"/>
      <c r="M51" s="122" t="s">
        <v>623</v>
      </c>
      <c r="N51" s="122">
        <v>0.66</v>
      </c>
      <c r="O51" s="124"/>
      <c r="P51" s="122" t="s">
        <v>623</v>
      </c>
      <c r="Q51" s="122">
        <v>0.66</v>
      </c>
      <c r="R51" s="124"/>
      <c r="S51" s="122" t="s">
        <v>1076</v>
      </c>
      <c r="T51" s="122">
        <v>0.51</v>
      </c>
      <c r="U51" s="124"/>
      <c r="V51" s="122" t="s">
        <v>993</v>
      </c>
      <c r="W51" s="122">
        <v>0.63</v>
      </c>
      <c r="X51" s="124"/>
      <c r="Y51" s="122" t="s">
        <v>1201</v>
      </c>
      <c r="Z51" s="122">
        <v>0.41</v>
      </c>
      <c r="AA51" s="124"/>
      <c r="AB51" s="122" t="s">
        <v>1326</v>
      </c>
      <c r="AC51" s="122">
        <v>0.43</v>
      </c>
      <c r="AD51" s="124"/>
      <c r="AE51" s="122" t="s">
        <v>1505</v>
      </c>
      <c r="AF51" s="118">
        <v>0.6</v>
      </c>
      <c r="AH51" s="118" t="s">
        <v>1898</v>
      </c>
      <c r="AI51" s="118">
        <v>0.43</v>
      </c>
      <c r="AK51" s="118" t="s">
        <v>2064</v>
      </c>
      <c r="AL51" s="118">
        <v>0.53</v>
      </c>
      <c r="AN51" s="151" t="s">
        <v>651</v>
      </c>
      <c r="AO51" s="118">
        <v>0.43</v>
      </c>
      <c r="AQ51" s="151" t="s">
        <v>739</v>
      </c>
      <c r="AR51" s="118">
        <v>0.43</v>
      </c>
      <c r="AT51" s="118" t="s">
        <v>1541</v>
      </c>
      <c r="AU51" s="118">
        <v>0.43</v>
      </c>
      <c r="AW51" s="118" t="s">
        <v>1541</v>
      </c>
      <c r="AX51" s="118">
        <v>0.43</v>
      </c>
      <c r="AZ51" s="118" t="s">
        <v>1541</v>
      </c>
      <c r="BA51" s="118">
        <v>0.43</v>
      </c>
      <c r="BC51" s="118" t="s">
        <v>1541</v>
      </c>
      <c r="BD51" s="118">
        <v>0.43</v>
      </c>
      <c r="BF51" s="118" t="s">
        <v>1541</v>
      </c>
      <c r="BG51" s="118">
        <v>0.43</v>
      </c>
      <c r="BI51" s="118" t="s">
        <v>1541</v>
      </c>
      <c r="BJ51" s="118">
        <v>0.43</v>
      </c>
    </row>
    <row r="52" spans="1:62" x14ac:dyDescent="0.25">
      <c r="A52" s="162" t="str">
        <f t="shared" ca="1" si="0"/>
        <v>Ироко</v>
      </c>
      <c r="B52" s="162">
        <f t="shared" ca="1" si="1"/>
        <v>0.66</v>
      </c>
      <c r="C52" s="124"/>
      <c r="D52" s="141" t="s">
        <v>622</v>
      </c>
      <c r="E52" s="144">
        <v>0.5</v>
      </c>
      <c r="F52" s="143"/>
      <c r="G52" s="151" t="s">
        <v>652</v>
      </c>
      <c r="H52" s="122">
        <v>1.3</v>
      </c>
      <c r="I52" s="143"/>
      <c r="J52" s="122" t="s">
        <v>739</v>
      </c>
      <c r="K52" s="122">
        <v>0.43</v>
      </c>
      <c r="L52" s="124"/>
      <c r="M52" s="122" t="s">
        <v>846</v>
      </c>
      <c r="N52" s="122">
        <v>0.55000000000000004</v>
      </c>
      <c r="O52" s="124"/>
      <c r="P52" s="122" t="s">
        <v>1022</v>
      </c>
      <c r="Q52" s="122">
        <v>0.75</v>
      </c>
      <c r="R52" s="124"/>
      <c r="S52" s="122" t="s">
        <v>983</v>
      </c>
      <c r="T52" s="122">
        <v>0.53</v>
      </c>
      <c r="U52" s="124"/>
      <c r="V52" s="122" t="s">
        <v>1007</v>
      </c>
      <c r="W52" s="122">
        <v>0.51</v>
      </c>
      <c r="X52" s="124"/>
      <c r="Y52" s="122" t="s">
        <v>1188</v>
      </c>
      <c r="Z52" s="122">
        <v>0.9</v>
      </c>
      <c r="AA52" s="124"/>
      <c r="AB52" s="122" t="s">
        <v>1327</v>
      </c>
      <c r="AC52" s="122">
        <v>0.5</v>
      </c>
      <c r="AD52" s="124"/>
      <c r="AE52" s="151" t="s">
        <v>1525</v>
      </c>
      <c r="AF52" s="118">
        <v>0.66</v>
      </c>
      <c r="AH52" s="118" t="s">
        <v>1899</v>
      </c>
      <c r="AI52" s="118">
        <v>0.5</v>
      </c>
      <c r="AK52" s="118" t="s">
        <v>2065</v>
      </c>
      <c r="AL52" s="118">
        <v>1.3</v>
      </c>
      <c r="AN52" s="151" t="s">
        <v>652</v>
      </c>
      <c r="AO52" s="118">
        <v>0.5</v>
      </c>
      <c r="AQ52" s="151" t="s">
        <v>622</v>
      </c>
      <c r="AR52" s="118">
        <v>0.5</v>
      </c>
      <c r="AT52" s="118" t="s">
        <v>1542</v>
      </c>
      <c r="AU52" s="118">
        <v>0.5</v>
      </c>
      <c r="AW52" s="118" t="s">
        <v>1542</v>
      </c>
      <c r="AX52" s="118">
        <v>0.5</v>
      </c>
      <c r="AZ52" s="118" t="s">
        <v>1542</v>
      </c>
      <c r="BA52" s="118">
        <v>0.5</v>
      </c>
      <c r="BC52" s="118" t="s">
        <v>1542</v>
      </c>
      <c r="BD52" s="118">
        <v>0.5</v>
      </c>
      <c r="BF52" s="118" t="s">
        <v>1542</v>
      </c>
      <c r="BG52" s="118">
        <v>0.5</v>
      </c>
      <c r="BI52" s="118" t="s">
        <v>1542</v>
      </c>
      <c r="BJ52" s="118">
        <v>0.5</v>
      </c>
    </row>
    <row r="53" spans="1:62" x14ac:dyDescent="0.25">
      <c r="A53" s="162" t="str">
        <f t="shared" ca="1" si="0"/>
        <v>Канадский тополь</v>
      </c>
      <c r="B53" s="162">
        <f t="shared" ca="1" si="1"/>
        <v>0.41</v>
      </c>
      <c r="C53" s="124"/>
      <c r="D53" s="141" t="s">
        <v>623</v>
      </c>
      <c r="E53" s="144">
        <v>0.66</v>
      </c>
      <c r="F53" s="143"/>
      <c r="G53" s="151" t="s">
        <v>672</v>
      </c>
      <c r="H53" s="122">
        <v>0.82</v>
      </c>
      <c r="I53" s="143"/>
      <c r="J53" s="122" t="s">
        <v>738</v>
      </c>
      <c r="K53" s="122">
        <v>0.45</v>
      </c>
      <c r="L53" s="124"/>
      <c r="M53" s="122" t="s">
        <v>841</v>
      </c>
      <c r="N53" s="122">
        <v>0.43</v>
      </c>
      <c r="O53" s="124"/>
      <c r="P53" s="122" t="s">
        <v>1036</v>
      </c>
      <c r="Q53" s="122">
        <v>0.56000000000000005</v>
      </c>
      <c r="R53" s="124"/>
      <c r="S53" s="122" t="s">
        <v>1057</v>
      </c>
      <c r="T53" s="122">
        <v>1.3</v>
      </c>
      <c r="U53" s="124"/>
      <c r="V53" s="122" t="s">
        <v>983</v>
      </c>
      <c r="W53" s="122">
        <v>0.53</v>
      </c>
      <c r="X53" s="124"/>
      <c r="Y53" s="122" t="s">
        <v>1194</v>
      </c>
      <c r="Z53" s="122">
        <v>0.56000000000000005</v>
      </c>
      <c r="AA53" s="124"/>
      <c r="AB53" s="122" t="s">
        <v>1328</v>
      </c>
      <c r="AC53" s="122">
        <v>0.66</v>
      </c>
      <c r="AD53" s="124"/>
      <c r="AE53" s="122" t="s">
        <v>1498</v>
      </c>
      <c r="AF53" s="118">
        <v>0.41</v>
      </c>
      <c r="AH53" s="118" t="s">
        <v>1900</v>
      </c>
      <c r="AI53" s="118">
        <v>0.66</v>
      </c>
      <c r="AK53" s="118" t="s">
        <v>2066</v>
      </c>
      <c r="AL53" s="118">
        <v>0.82</v>
      </c>
      <c r="AN53" s="151" t="s">
        <v>672</v>
      </c>
      <c r="AO53" s="118">
        <v>0.66</v>
      </c>
      <c r="AQ53" s="151" t="s">
        <v>623</v>
      </c>
      <c r="AR53" s="118">
        <v>0.66</v>
      </c>
      <c r="AT53" s="118" t="s">
        <v>1543</v>
      </c>
      <c r="AU53" s="118">
        <v>0.66</v>
      </c>
      <c r="AW53" s="118" t="s">
        <v>1543</v>
      </c>
      <c r="AX53" s="118">
        <v>0.66</v>
      </c>
      <c r="AZ53" s="118" t="s">
        <v>1543</v>
      </c>
      <c r="BA53" s="118">
        <v>0.66</v>
      </c>
      <c r="BC53" s="118" t="s">
        <v>1543</v>
      </c>
      <c r="BD53" s="118">
        <v>0.66</v>
      </c>
      <c r="BF53" s="118" t="s">
        <v>1543</v>
      </c>
      <c r="BG53" s="118">
        <v>0.66</v>
      </c>
      <c r="BI53" s="118" t="s">
        <v>1543</v>
      </c>
      <c r="BJ53" s="118">
        <v>0.66</v>
      </c>
    </row>
    <row r="54" spans="1:62" x14ac:dyDescent="0.25">
      <c r="A54" s="162" t="str">
        <f t="shared" ca="1" si="0"/>
        <v>Кария-пекан</v>
      </c>
      <c r="B54" s="162">
        <f t="shared" ca="1" si="1"/>
        <v>0.77</v>
      </c>
      <c r="C54" s="124"/>
      <c r="D54" s="138" t="s">
        <v>624</v>
      </c>
      <c r="E54" s="139">
        <v>0.56000000000000005</v>
      </c>
      <c r="F54" s="124"/>
      <c r="G54" s="151" t="s">
        <v>671</v>
      </c>
      <c r="H54" s="122">
        <v>0.41</v>
      </c>
      <c r="I54" s="143"/>
      <c r="J54" s="122" t="s">
        <v>622</v>
      </c>
      <c r="K54" s="122">
        <v>0.5</v>
      </c>
      <c r="L54" s="124"/>
      <c r="M54" s="122" t="s">
        <v>852</v>
      </c>
      <c r="N54" s="122">
        <v>1.33</v>
      </c>
      <c r="O54" s="124"/>
      <c r="P54" s="122" t="s">
        <v>1020</v>
      </c>
      <c r="Q54" s="122">
        <v>0.55000000000000004</v>
      </c>
      <c r="R54" s="124"/>
      <c r="S54" s="122" t="s">
        <v>1059</v>
      </c>
      <c r="T54" s="122">
        <v>0.71</v>
      </c>
      <c r="U54" s="124"/>
      <c r="V54" s="122" t="s">
        <v>982</v>
      </c>
      <c r="W54" s="122">
        <v>0.9</v>
      </c>
      <c r="X54" s="124"/>
      <c r="Y54" s="122" t="s">
        <v>1196</v>
      </c>
      <c r="Z54" s="122">
        <v>0.63</v>
      </c>
      <c r="AA54" s="124"/>
      <c r="AB54" s="122" t="s">
        <v>1329</v>
      </c>
      <c r="AC54" s="122">
        <v>0.56000000000000005</v>
      </c>
      <c r="AD54" s="124"/>
      <c r="AE54" s="151" t="s">
        <v>1527</v>
      </c>
      <c r="AF54" s="118">
        <v>0.77</v>
      </c>
      <c r="AH54" s="118" t="s">
        <v>1901</v>
      </c>
      <c r="AI54" s="118">
        <v>0.56000000000000005</v>
      </c>
      <c r="AK54" s="118" t="s">
        <v>2067</v>
      </c>
      <c r="AL54" s="118">
        <v>0.41</v>
      </c>
      <c r="AN54" s="151" t="s">
        <v>671</v>
      </c>
      <c r="AO54" s="118">
        <v>0.56000000000000005</v>
      </c>
      <c r="AQ54" s="151" t="s">
        <v>2332</v>
      </c>
      <c r="AR54" s="118">
        <v>0.56000000000000005</v>
      </c>
      <c r="AT54" s="118" t="s">
        <v>1564</v>
      </c>
      <c r="AU54" s="118">
        <v>0.56000000000000005</v>
      </c>
      <c r="AW54" s="118" t="s">
        <v>1564</v>
      </c>
      <c r="AX54" s="118">
        <v>0.56000000000000005</v>
      </c>
      <c r="AZ54" s="118" t="s">
        <v>1564</v>
      </c>
      <c r="BA54" s="118">
        <v>0.56000000000000005</v>
      </c>
      <c r="BC54" s="118" t="s">
        <v>1564</v>
      </c>
      <c r="BD54" s="118">
        <v>0.56000000000000005</v>
      </c>
      <c r="BF54" s="118" t="s">
        <v>1564</v>
      </c>
      <c r="BG54" s="118">
        <v>0.56000000000000005</v>
      </c>
      <c r="BI54" s="118" t="s">
        <v>1564</v>
      </c>
      <c r="BJ54" s="118">
        <v>0.56000000000000005</v>
      </c>
    </row>
    <row r="55" spans="1:62" x14ac:dyDescent="0.25">
      <c r="A55" s="162" t="str">
        <f t="shared" ca="1" si="0"/>
        <v>Каштан</v>
      </c>
      <c r="B55" s="162">
        <f t="shared" ca="1" si="1"/>
        <v>0.56000000000000005</v>
      </c>
      <c r="C55" s="124"/>
      <c r="D55" s="138" t="s">
        <v>625</v>
      </c>
      <c r="E55" s="139">
        <v>0.45</v>
      </c>
      <c r="F55" s="124"/>
      <c r="G55" s="151" t="s">
        <v>657</v>
      </c>
      <c r="H55" s="122">
        <v>0.43</v>
      </c>
      <c r="I55" s="143"/>
      <c r="J55" s="122" t="s">
        <v>623</v>
      </c>
      <c r="K55" s="122">
        <v>0.66</v>
      </c>
      <c r="L55" s="124"/>
      <c r="M55" s="122" t="s">
        <v>853</v>
      </c>
      <c r="N55" s="122">
        <v>0.67</v>
      </c>
      <c r="O55" s="124"/>
      <c r="P55" s="122" t="s">
        <v>1042</v>
      </c>
      <c r="Q55" s="122">
        <v>0.77</v>
      </c>
      <c r="R55" s="124"/>
      <c r="S55" s="122" t="s">
        <v>1062</v>
      </c>
      <c r="T55" s="122">
        <v>0.43</v>
      </c>
      <c r="U55" s="124"/>
      <c r="V55" s="122" t="s">
        <v>986</v>
      </c>
      <c r="W55" s="122">
        <v>0.71</v>
      </c>
      <c r="X55" s="124"/>
      <c r="Y55" s="122" t="s">
        <v>1190</v>
      </c>
      <c r="Z55" s="122">
        <v>0.7</v>
      </c>
      <c r="AA55" s="124"/>
      <c r="AB55" s="122" t="s">
        <v>1330</v>
      </c>
      <c r="AC55" s="122">
        <v>0.45</v>
      </c>
      <c r="AD55" s="124"/>
      <c r="AE55" s="122" t="s">
        <v>1492</v>
      </c>
      <c r="AF55" s="118">
        <v>0.56000000000000005</v>
      </c>
      <c r="AH55" s="118" t="s">
        <v>1882</v>
      </c>
      <c r="AI55" s="118">
        <v>0.45</v>
      </c>
      <c r="AK55" s="118" t="s">
        <v>657</v>
      </c>
      <c r="AL55" s="118">
        <v>0.43</v>
      </c>
      <c r="AN55" s="151" t="s">
        <v>657</v>
      </c>
      <c r="AO55" s="118">
        <v>0.45</v>
      </c>
      <c r="AQ55" s="151" t="s">
        <v>2333</v>
      </c>
      <c r="AR55" s="118">
        <v>0.45</v>
      </c>
      <c r="AT55" s="118" t="s">
        <v>1565</v>
      </c>
      <c r="AU55" s="118">
        <v>0.45</v>
      </c>
      <c r="AW55" s="118" t="s">
        <v>1565</v>
      </c>
      <c r="AX55" s="118">
        <v>0.45</v>
      </c>
      <c r="AZ55" s="118" t="s">
        <v>1565</v>
      </c>
      <c r="BA55" s="118">
        <v>0.45</v>
      </c>
      <c r="BC55" s="118" t="s">
        <v>1565</v>
      </c>
      <c r="BD55" s="118">
        <v>0.45</v>
      </c>
      <c r="BF55" s="118" t="s">
        <v>1565</v>
      </c>
      <c r="BG55" s="118">
        <v>0.45</v>
      </c>
      <c r="BI55" s="118" t="s">
        <v>1565</v>
      </c>
      <c r="BJ55" s="118">
        <v>0.45</v>
      </c>
    </row>
    <row r="56" spans="1:62" x14ac:dyDescent="0.25">
      <c r="A56" s="162" t="str">
        <f t="shared" ca="1" si="0"/>
        <v>Кедр</v>
      </c>
      <c r="B56" s="162">
        <f t="shared" ca="1" si="1"/>
        <v>0.57999999999999996</v>
      </c>
      <c r="C56" s="124"/>
      <c r="D56" s="138" t="s">
        <v>626</v>
      </c>
      <c r="E56" s="139">
        <v>0.63</v>
      </c>
      <c r="F56" s="124"/>
      <c r="G56" s="151" t="s">
        <v>622</v>
      </c>
      <c r="H56" s="122">
        <v>0.5</v>
      </c>
      <c r="I56" s="143"/>
      <c r="J56" s="122" t="s">
        <v>740</v>
      </c>
      <c r="K56" s="122">
        <v>0.56000000000000005</v>
      </c>
      <c r="L56" s="124"/>
      <c r="M56" s="122" t="s">
        <v>830</v>
      </c>
      <c r="N56" s="122">
        <v>0.8</v>
      </c>
      <c r="O56" s="124"/>
      <c r="P56" s="122" t="s">
        <v>1045</v>
      </c>
      <c r="Q56" s="122">
        <v>0.83</v>
      </c>
      <c r="R56" s="124"/>
      <c r="S56" s="122" t="s">
        <v>1043</v>
      </c>
      <c r="T56" s="122">
        <v>1.33</v>
      </c>
      <c r="U56" s="124"/>
      <c r="V56" s="122" t="s">
        <v>989</v>
      </c>
      <c r="W56" s="122">
        <v>0.43</v>
      </c>
      <c r="X56" s="124"/>
      <c r="Y56" s="122" t="s">
        <v>1193</v>
      </c>
      <c r="Z56" s="122">
        <v>0.45</v>
      </c>
      <c r="AA56" s="124"/>
      <c r="AB56" s="122" t="s">
        <v>1331</v>
      </c>
      <c r="AC56" s="122">
        <v>0.63</v>
      </c>
      <c r="AD56" s="124"/>
      <c r="AE56" s="122" t="s">
        <v>1506</v>
      </c>
      <c r="AF56" s="118">
        <v>0.57999999999999996</v>
      </c>
      <c r="AH56" s="118" t="s">
        <v>1902</v>
      </c>
      <c r="AI56" s="118">
        <v>0.63</v>
      </c>
      <c r="AK56" s="118" t="s">
        <v>2068</v>
      </c>
      <c r="AL56" s="118">
        <v>0.5</v>
      </c>
      <c r="AN56" s="151" t="s">
        <v>622</v>
      </c>
      <c r="AO56" s="118">
        <v>0.63</v>
      </c>
      <c r="AQ56" s="151" t="s">
        <v>2334</v>
      </c>
      <c r="AR56" s="118">
        <v>0.63</v>
      </c>
      <c r="AT56" s="118" t="s">
        <v>1566</v>
      </c>
      <c r="AU56" s="118">
        <v>0.63</v>
      </c>
      <c r="AW56" s="118" t="s">
        <v>1566</v>
      </c>
      <c r="AX56" s="118">
        <v>0.63</v>
      </c>
      <c r="AZ56" s="118" t="s">
        <v>1566</v>
      </c>
      <c r="BA56" s="118">
        <v>0.63</v>
      </c>
      <c r="BC56" s="118" t="s">
        <v>1566</v>
      </c>
      <c r="BD56" s="118">
        <v>0.63</v>
      </c>
      <c r="BF56" s="118" t="s">
        <v>1566</v>
      </c>
      <c r="BG56" s="118">
        <v>0.63</v>
      </c>
      <c r="BI56" s="118" t="s">
        <v>1566</v>
      </c>
      <c r="BJ56" s="118">
        <v>0.63</v>
      </c>
    </row>
    <row r="57" spans="1:62" x14ac:dyDescent="0.25">
      <c r="A57" s="162" t="str">
        <f t="shared" ca="1" si="0"/>
        <v>Кипарис</v>
      </c>
      <c r="B57" s="162">
        <f t="shared" ca="1" si="1"/>
        <v>0.51</v>
      </c>
      <c r="C57" s="124"/>
      <c r="D57" s="138" t="s">
        <v>627</v>
      </c>
      <c r="E57" s="139">
        <v>0.55000000000000004</v>
      </c>
      <c r="F57" s="124"/>
      <c r="G57" s="151" t="s">
        <v>673</v>
      </c>
      <c r="H57" s="122">
        <v>0.83</v>
      </c>
      <c r="I57" s="143"/>
      <c r="J57" s="122" t="s">
        <v>742</v>
      </c>
      <c r="K57" s="122">
        <v>0.63</v>
      </c>
      <c r="L57" s="124"/>
      <c r="M57" s="122" t="s">
        <v>847</v>
      </c>
      <c r="N57" s="122">
        <v>0.85</v>
      </c>
      <c r="O57" s="124"/>
      <c r="P57" s="122" t="s">
        <v>1044</v>
      </c>
      <c r="Q57" s="122">
        <v>0.82</v>
      </c>
      <c r="R57" s="124"/>
      <c r="S57" s="122" t="s">
        <v>1056</v>
      </c>
      <c r="T57" s="122">
        <v>0.9</v>
      </c>
      <c r="U57" s="124"/>
      <c r="V57" s="122" t="s">
        <v>622</v>
      </c>
      <c r="W57" s="122">
        <v>0.5</v>
      </c>
      <c r="X57" s="124"/>
      <c r="Y57" s="122" t="s">
        <v>1199</v>
      </c>
      <c r="Z57" s="122">
        <v>0.51</v>
      </c>
      <c r="AA57" s="124"/>
      <c r="AB57" s="122" t="s">
        <v>1332</v>
      </c>
      <c r="AC57" s="122">
        <v>0.55000000000000004</v>
      </c>
      <c r="AD57" s="124"/>
      <c r="AE57" s="122" t="s">
        <v>1507</v>
      </c>
      <c r="AF57" s="118">
        <v>0.51</v>
      </c>
      <c r="AH57" s="118" t="s">
        <v>1903</v>
      </c>
      <c r="AI57" s="118">
        <v>0.55000000000000004</v>
      </c>
      <c r="AK57" s="118" t="s">
        <v>2069</v>
      </c>
      <c r="AL57" s="118">
        <v>0.83</v>
      </c>
      <c r="AN57" s="151" t="s">
        <v>673</v>
      </c>
      <c r="AO57" s="118">
        <v>0.55000000000000004</v>
      </c>
      <c r="AQ57" s="151" t="s">
        <v>2335</v>
      </c>
      <c r="AR57" s="118">
        <v>0.55000000000000004</v>
      </c>
      <c r="AT57" s="118" t="s">
        <v>1567</v>
      </c>
      <c r="AU57" s="118">
        <v>0.55000000000000004</v>
      </c>
      <c r="AW57" s="118" t="s">
        <v>1567</v>
      </c>
      <c r="AX57" s="118">
        <v>0.55000000000000004</v>
      </c>
      <c r="AZ57" s="118" t="s">
        <v>1567</v>
      </c>
      <c r="BA57" s="118">
        <v>0.55000000000000004</v>
      </c>
      <c r="BC57" s="118" t="s">
        <v>1567</v>
      </c>
      <c r="BD57" s="118">
        <v>0.55000000000000004</v>
      </c>
      <c r="BF57" s="118" t="s">
        <v>1567</v>
      </c>
      <c r="BG57" s="118">
        <v>0.55000000000000004</v>
      </c>
      <c r="BI57" s="118" t="s">
        <v>1567</v>
      </c>
      <c r="BJ57" s="118">
        <v>0.55000000000000004</v>
      </c>
    </row>
    <row r="58" spans="1:62" x14ac:dyDescent="0.25">
      <c r="A58" s="162" t="str">
        <f t="shared" ca="1" si="0"/>
        <v>Клен</v>
      </c>
      <c r="B58" s="162">
        <f t="shared" ca="1" si="1"/>
        <v>0.75</v>
      </c>
      <c r="C58" s="124"/>
      <c r="D58" s="141" t="s">
        <v>628</v>
      </c>
      <c r="E58" s="144">
        <v>0.85</v>
      </c>
      <c r="F58" s="143"/>
      <c r="G58" s="151" t="s">
        <v>623</v>
      </c>
      <c r="H58" s="122">
        <v>0.66</v>
      </c>
      <c r="I58" s="143"/>
      <c r="J58" s="122" t="s">
        <v>743</v>
      </c>
      <c r="K58" s="122">
        <v>0.55000000000000004</v>
      </c>
      <c r="L58" s="124"/>
      <c r="M58" s="122" t="s">
        <v>857</v>
      </c>
      <c r="N58" s="122">
        <v>0.83</v>
      </c>
      <c r="O58" s="124"/>
      <c r="P58" s="122" t="s">
        <v>395</v>
      </c>
      <c r="Q58" s="122">
        <v>0.65</v>
      </c>
      <c r="R58" s="124"/>
      <c r="S58" s="122" t="s">
        <v>622</v>
      </c>
      <c r="T58" s="122">
        <v>0.5</v>
      </c>
      <c r="U58" s="124"/>
      <c r="V58" s="122" t="s">
        <v>979</v>
      </c>
      <c r="W58" s="122">
        <v>0.8</v>
      </c>
      <c r="X58" s="124"/>
      <c r="Y58" s="122" t="s">
        <v>1198</v>
      </c>
      <c r="Z58" s="122">
        <v>0.85</v>
      </c>
      <c r="AA58" s="124"/>
      <c r="AB58" s="122" t="s">
        <v>1333</v>
      </c>
      <c r="AC58" s="122">
        <v>0.85</v>
      </c>
      <c r="AD58" s="124"/>
      <c r="AE58" s="122" t="s">
        <v>1478</v>
      </c>
      <c r="AF58" s="118">
        <v>0.75</v>
      </c>
      <c r="AH58" s="118" t="s">
        <v>1904</v>
      </c>
      <c r="AI58" s="118">
        <v>0.85</v>
      </c>
      <c r="AK58" s="118" t="s">
        <v>2070</v>
      </c>
      <c r="AL58" s="118">
        <v>0.66</v>
      </c>
      <c r="AN58" s="151" t="s">
        <v>623</v>
      </c>
      <c r="AO58" s="118">
        <v>0.85</v>
      </c>
      <c r="AQ58" s="151" t="s">
        <v>2336</v>
      </c>
      <c r="AR58" s="118">
        <v>0.85</v>
      </c>
      <c r="AT58" s="118" t="s">
        <v>1568</v>
      </c>
      <c r="AU58" s="118">
        <v>0.85</v>
      </c>
      <c r="AW58" s="118" t="s">
        <v>1568</v>
      </c>
      <c r="AX58" s="118">
        <v>0.85</v>
      </c>
      <c r="AZ58" s="118" t="s">
        <v>1568</v>
      </c>
      <c r="BA58" s="118">
        <v>0.85</v>
      </c>
      <c r="BC58" s="118" t="s">
        <v>1568</v>
      </c>
      <c r="BD58" s="118">
        <v>0.85</v>
      </c>
      <c r="BF58" s="118" t="s">
        <v>1568</v>
      </c>
      <c r="BG58" s="118">
        <v>0.85</v>
      </c>
      <c r="BI58" s="118" t="s">
        <v>1568</v>
      </c>
      <c r="BJ58" s="118">
        <v>0.85</v>
      </c>
    </row>
    <row r="59" spans="1:62" x14ac:dyDescent="0.25">
      <c r="A59" s="162" t="str">
        <f t="shared" ca="1" si="0"/>
        <v>Красное дерево</v>
      </c>
      <c r="B59" s="162">
        <f t="shared" ca="1" si="1"/>
        <v>0.85</v>
      </c>
      <c r="C59" s="124"/>
      <c r="D59" s="138" t="s">
        <v>629</v>
      </c>
      <c r="E59" s="139">
        <v>0.51</v>
      </c>
      <c r="F59" s="124"/>
      <c r="G59" s="151" t="s">
        <v>661</v>
      </c>
      <c r="H59" s="122">
        <v>0.55000000000000004</v>
      </c>
      <c r="I59" s="143"/>
      <c r="J59" s="122" t="s">
        <v>668</v>
      </c>
      <c r="K59" s="122">
        <v>1.33</v>
      </c>
      <c r="L59" s="124"/>
      <c r="M59" s="122" t="s">
        <v>856</v>
      </c>
      <c r="N59" s="122">
        <v>0.82</v>
      </c>
      <c r="O59" s="124"/>
      <c r="P59" s="122" t="s">
        <v>1040</v>
      </c>
      <c r="Q59" s="122">
        <v>0.5</v>
      </c>
      <c r="R59" s="124"/>
      <c r="S59" s="122" t="s">
        <v>623</v>
      </c>
      <c r="T59" s="122">
        <v>0.66</v>
      </c>
      <c r="U59" s="124"/>
      <c r="V59" s="122" t="s">
        <v>990</v>
      </c>
      <c r="W59" s="122">
        <v>0.66</v>
      </c>
      <c r="X59" s="124"/>
      <c r="Y59" s="122" t="s">
        <v>1206</v>
      </c>
      <c r="Z59" s="122">
        <v>0.57999999999999996</v>
      </c>
      <c r="AA59" s="124"/>
      <c r="AB59" s="122" t="s">
        <v>1334</v>
      </c>
      <c r="AC59" s="122">
        <v>0.51</v>
      </c>
      <c r="AD59" s="124"/>
      <c r="AE59" s="151" t="s">
        <v>1526</v>
      </c>
      <c r="AF59" s="118">
        <v>0.85</v>
      </c>
      <c r="AH59" s="118" t="s">
        <v>629</v>
      </c>
      <c r="AI59" s="118">
        <v>0.51</v>
      </c>
      <c r="AK59" s="118" t="s">
        <v>2071</v>
      </c>
      <c r="AL59" s="118">
        <v>0.55000000000000004</v>
      </c>
      <c r="AN59" s="151" t="s">
        <v>661</v>
      </c>
      <c r="AO59" s="118">
        <v>0.51</v>
      </c>
      <c r="AQ59" s="151" t="s">
        <v>2337</v>
      </c>
      <c r="AR59" s="118">
        <v>0.51</v>
      </c>
      <c r="AT59" s="118" t="s">
        <v>1569</v>
      </c>
      <c r="AU59" s="118">
        <v>0.51</v>
      </c>
      <c r="AW59" s="118" t="s">
        <v>1569</v>
      </c>
      <c r="AX59" s="118">
        <v>0.51</v>
      </c>
      <c r="AZ59" s="118" t="s">
        <v>1569</v>
      </c>
      <c r="BA59" s="118">
        <v>0.51</v>
      </c>
      <c r="BC59" s="118" t="s">
        <v>1569</v>
      </c>
      <c r="BD59" s="118">
        <v>0.51</v>
      </c>
      <c r="BF59" s="118" t="s">
        <v>1569</v>
      </c>
      <c r="BG59" s="118">
        <v>0.51</v>
      </c>
      <c r="BI59" s="118" t="s">
        <v>1569</v>
      </c>
      <c r="BJ59" s="118">
        <v>0.51</v>
      </c>
    </row>
    <row r="60" spans="1:62" x14ac:dyDescent="0.25">
      <c r="A60" s="162" t="str">
        <f t="shared" ca="1" si="0"/>
        <v>Лиственница</v>
      </c>
      <c r="B60" s="162">
        <f t="shared" ca="1" si="1"/>
        <v>0.55000000000000004</v>
      </c>
      <c r="C60" s="124"/>
      <c r="D60" s="138" t="s">
        <v>630</v>
      </c>
      <c r="E60" s="139">
        <v>0.5</v>
      </c>
      <c r="F60" s="124"/>
      <c r="G60" s="151" t="s">
        <v>668</v>
      </c>
      <c r="H60" s="122">
        <v>1.33</v>
      </c>
      <c r="I60" s="143"/>
      <c r="J60" s="122" t="s">
        <v>726</v>
      </c>
      <c r="K60" s="122">
        <v>0.6</v>
      </c>
      <c r="L60" s="124"/>
      <c r="M60" s="122" t="s">
        <v>837</v>
      </c>
      <c r="N60" s="122">
        <v>0.7</v>
      </c>
      <c r="O60" s="124"/>
      <c r="P60" s="122" t="s">
        <v>1041</v>
      </c>
      <c r="Q60" s="122">
        <v>0.41</v>
      </c>
      <c r="R60" s="124"/>
      <c r="S60" s="122" t="s">
        <v>1071</v>
      </c>
      <c r="T60" s="122">
        <v>0.67</v>
      </c>
      <c r="U60" s="124"/>
      <c r="V60" s="122" t="s">
        <v>1001</v>
      </c>
      <c r="W60" s="122">
        <v>0.67</v>
      </c>
      <c r="X60" s="124"/>
      <c r="Y60" s="122" t="s">
        <v>1207</v>
      </c>
      <c r="Z60" s="122">
        <v>0.51</v>
      </c>
      <c r="AA60" s="124"/>
      <c r="AB60" s="122" t="s">
        <v>1335</v>
      </c>
      <c r="AC60" s="122">
        <v>0.5</v>
      </c>
      <c r="AD60" s="124"/>
      <c r="AE60" s="122" t="s">
        <v>1495</v>
      </c>
      <c r="AF60" s="118">
        <v>0.55000000000000004</v>
      </c>
      <c r="AH60" s="118" t="s">
        <v>1896</v>
      </c>
      <c r="AI60" s="118">
        <v>0.5</v>
      </c>
      <c r="AK60" s="118" t="s">
        <v>668</v>
      </c>
      <c r="AL60" s="118">
        <v>1.33</v>
      </c>
      <c r="AN60" s="151" t="s">
        <v>668</v>
      </c>
      <c r="AO60" s="118">
        <v>0.5</v>
      </c>
      <c r="AQ60" s="151" t="s">
        <v>2338</v>
      </c>
      <c r="AR60" s="118">
        <v>0.5</v>
      </c>
      <c r="AT60" s="118" t="s">
        <v>1570</v>
      </c>
      <c r="AU60" s="118">
        <v>0.5</v>
      </c>
      <c r="AW60" s="118" t="s">
        <v>1570</v>
      </c>
      <c r="AX60" s="118">
        <v>0.5</v>
      </c>
      <c r="AZ60" s="118" t="s">
        <v>1570</v>
      </c>
      <c r="BA60" s="118">
        <v>0.5</v>
      </c>
      <c r="BC60" s="118" t="s">
        <v>1570</v>
      </c>
      <c r="BD60" s="118">
        <v>0.5</v>
      </c>
      <c r="BF60" s="118" t="s">
        <v>1570</v>
      </c>
      <c r="BG60" s="118">
        <v>0.5</v>
      </c>
      <c r="BI60" s="118" t="s">
        <v>1570</v>
      </c>
      <c r="BJ60" s="118">
        <v>0.5</v>
      </c>
    </row>
    <row r="61" spans="1:62" x14ac:dyDescent="0.25">
      <c r="A61" s="162" t="str">
        <f t="shared" ca="1" si="0"/>
        <v>Ольха</v>
      </c>
      <c r="B61" s="162">
        <f t="shared" ca="1" si="1"/>
        <v>0.7</v>
      </c>
      <c r="C61" s="124"/>
      <c r="D61" s="138" t="s">
        <v>631</v>
      </c>
      <c r="E61" s="139">
        <v>0.41</v>
      </c>
      <c r="F61" s="124"/>
      <c r="G61" s="151" t="s">
        <v>669</v>
      </c>
      <c r="H61" s="122">
        <v>0.7</v>
      </c>
      <c r="I61" s="143"/>
      <c r="J61" s="122" t="s">
        <v>725</v>
      </c>
      <c r="K61" s="122">
        <v>0.75</v>
      </c>
      <c r="L61" s="124"/>
      <c r="M61" s="122" t="s">
        <v>827</v>
      </c>
      <c r="N61" s="122">
        <v>0.65</v>
      </c>
      <c r="O61" s="124"/>
      <c r="P61" s="122" t="s">
        <v>1021</v>
      </c>
      <c r="Q61" s="122">
        <v>0.45</v>
      </c>
      <c r="R61" s="124"/>
      <c r="S61" s="122" t="s">
        <v>1052</v>
      </c>
      <c r="T61" s="122">
        <v>0.8</v>
      </c>
      <c r="U61" s="124"/>
      <c r="V61" s="122" t="s">
        <v>995</v>
      </c>
      <c r="W61" s="122">
        <v>0.85</v>
      </c>
      <c r="X61" s="124"/>
      <c r="Y61" s="122" t="s">
        <v>1205</v>
      </c>
      <c r="Z61" s="122">
        <v>0.6</v>
      </c>
      <c r="AA61" s="124"/>
      <c r="AB61" s="122" t="s">
        <v>1336</v>
      </c>
      <c r="AC61" s="122">
        <v>0.41</v>
      </c>
      <c r="AD61" s="124"/>
      <c r="AE61" s="122" t="s">
        <v>1488</v>
      </c>
      <c r="AF61" s="118">
        <v>0.7</v>
      </c>
      <c r="AH61" s="118" t="s">
        <v>1905</v>
      </c>
      <c r="AI61" s="118">
        <v>0.41</v>
      </c>
      <c r="AK61" s="118" t="s">
        <v>2072</v>
      </c>
      <c r="AL61" s="118">
        <v>0.7</v>
      </c>
      <c r="AN61" s="151" t="s">
        <v>669</v>
      </c>
      <c r="AO61" s="118">
        <v>0.41</v>
      </c>
      <c r="AQ61" s="151" t="s">
        <v>2339</v>
      </c>
      <c r="AR61" s="118">
        <v>0.41</v>
      </c>
      <c r="AT61" s="118" t="s">
        <v>1571</v>
      </c>
      <c r="AU61" s="118">
        <v>0.41</v>
      </c>
      <c r="AW61" s="118" t="s">
        <v>1571</v>
      </c>
      <c r="AX61" s="118">
        <v>0.41</v>
      </c>
      <c r="AZ61" s="118" t="s">
        <v>1571</v>
      </c>
      <c r="BA61" s="118">
        <v>0.41</v>
      </c>
      <c r="BC61" s="118" t="s">
        <v>1571</v>
      </c>
      <c r="BD61" s="118">
        <v>0.41</v>
      </c>
      <c r="BF61" s="118" t="s">
        <v>1571</v>
      </c>
      <c r="BG61" s="118">
        <v>0.41</v>
      </c>
      <c r="BI61" s="118" t="s">
        <v>1571</v>
      </c>
      <c r="BJ61" s="118">
        <v>0.41</v>
      </c>
    </row>
    <row r="62" spans="1:62" x14ac:dyDescent="0.25">
      <c r="A62" s="162" t="str">
        <f t="shared" ca="1" si="0"/>
        <v>Орех</v>
      </c>
      <c r="B62" s="162">
        <f t="shared" ca="1" si="1"/>
        <v>0.83</v>
      </c>
      <c r="C62" s="124"/>
      <c r="D62" s="141" t="s">
        <v>632</v>
      </c>
      <c r="E62" s="144">
        <v>0.77</v>
      </c>
      <c r="F62" s="143"/>
      <c r="G62" s="151" t="s">
        <v>662</v>
      </c>
      <c r="H62" s="122">
        <v>0.85</v>
      </c>
      <c r="I62" s="143"/>
      <c r="J62" s="122" t="s">
        <v>744</v>
      </c>
      <c r="K62" s="122">
        <v>0.85</v>
      </c>
      <c r="L62" s="124"/>
      <c r="M62" s="122" t="s">
        <v>666</v>
      </c>
      <c r="N62" s="122">
        <v>0.77</v>
      </c>
      <c r="O62" s="124"/>
      <c r="P62" s="122" t="s">
        <v>1026</v>
      </c>
      <c r="Q62" s="122">
        <v>0.53</v>
      </c>
      <c r="R62" s="124"/>
      <c r="S62" s="122" t="s">
        <v>1074</v>
      </c>
      <c r="T62" s="122">
        <v>0.83</v>
      </c>
      <c r="U62" s="124"/>
      <c r="V62" s="122" t="s">
        <v>1004</v>
      </c>
      <c r="W62" s="122">
        <v>0.83</v>
      </c>
      <c r="X62" s="124"/>
      <c r="Y62" s="122" t="s">
        <v>1179</v>
      </c>
      <c r="Z62" s="122">
        <v>0.65</v>
      </c>
      <c r="AA62" s="124"/>
      <c r="AB62" s="122" t="s">
        <v>1337</v>
      </c>
      <c r="AC62" s="122">
        <v>0.77</v>
      </c>
      <c r="AD62" s="124"/>
      <c r="AE62" s="122" t="s">
        <v>1504</v>
      </c>
      <c r="AF62" s="118">
        <v>0.83</v>
      </c>
      <c r="AH62" s="118" t="s">
        <v>1906</v>
      </c>
      <c r="AI62" s="118">
        <v>0.77</v>
      </c>
      <c r="AK62" s="118" t="s">
        <v>2073</v>
      </c>
      <c r="AL62" s="118">
        <v>0.85</v>
      </c>
      <c r="AN62" s="151" t="s">
        <v>662</v>
      </c>
      <c r="AO62" s="118">
        <v>0.77</v>
      </c>
      <c r="AQ62" s="151" t="s">
        <v>2340</v>
      </c>
      <c r="AR62" s="118">
        <v>0.77</v>
      </c>
      <c r="AT62" s="118" t="s">
        <v>1544</v>
      </c>
      <c r="AU62" s="118">
        <v>0.77</v>
      </c>
      <c r="AW62" s="118" t="s">
        <v>1544</v>
      </c>
      <c r="AX62" s="118">
        <v>0.77</v>
      </c>
      <c r="AZ62" s="118" t="s">
        <v>1544</v>
      </c>
      <c r="BA62" s="118">
        <v>0.77</v>
      </c>
      <c r="BC62" s="118" t="s">
        <v>1544</v>
      </c>
      <c r="BD62" s="118">
        <v>0.77</v>
      </c>
      <c r="BF62" s="118" t="s">
        <v>1544</v>
      </c>
      <c r="BG62" s="118">
        <v>0.77</v>
      </c>
      <c r="BI62" s="118" t="s">
        <v>1544</v>
      </c>
      <c r="BJ62" s="118">
        <v>0.77</v>
      </c>
    </row>
    <row r="63" spans="1:62" x14ac:dyDescent="0.25">
      <c r="A63" s="162" t="str">
        <f t="shared" ca="1" si="0"/>
        <v>Осина</v>
      </c>
      <c r="B63" s="162">
        <f t="shared" ca="1" si="1"/>
        <v>0.42</v>
      </c>
      <c r="C63" s="124"/>
      <c r="D63" s="138" t="s">
        <v>633</v>
      </c>
      <c r="E63" s="139">
        <v>0.6</v>
      </c>
      <c r="F63" s="124"/>
      <c r="G63" s="151" t="s">
        <v>644</v>
      </c>
      <c r="H63" s="122">
        <v>0.75</v>
      </c>
      <c r="I63" s="143"/>
      <c r="J63" s="122" t="s">
        <v>745</v>
      </c>
      <c r="K63" s="122">
        <v>0.51</v>
      </c>
      <c r="L63" s="124"/>
      <c r="M63" s="122" t="s">
        <v>833</v>
      </c>
      <c r="N63" s="122">
        <v>0.7</v>
      </c>
      <c r="O63" s="124"/>
      <c r="P63" s="122" t="s">
        <v>633</v>
      </c>
      <c r="Q63" s="122">
        <v>0.6</v>
      </c>
      <c r="R63" s="124"/>
      <c r="S63" s="122" t="s">
        <v>856</v>
      </c>
      <c r="T63" s="122">
        <v>0.82</v>
      </c>
      <c r="U63" s="124"/>
      <c r="V63" s="122" t="s">
        <v>856</v>
      </c>
      <c r="W63" s="122">
        <v>0.82</v>
      </c>
      <c r="X63" s="124"/>
      <c r="Y63" s="122" t="s">
        <v>1202</v>
      </c>
      <c r="Z63" s="122">
        <v>0.98</v>
      </c>
      <c r="AA63" s="124"/>
      <c r="AB63" s="122" t="s">
        <v>1338</v>
      </c>
      <c r="AC63" s="122">
        <v>0.6</v>
      </c>
      <c r="AD63" s="124"/>
      <c r="AE63" s="122" t="s">
        <v>1490</v>
      </c>
      <c r="AF63" s="118">
        <v>0.42</v>
      </c>
      <c r="AH63" s="118" t="s">
        <v>1907</v>
      </c>
      <c r="AI63" s="118">
        <v>0.6</v>
      </c>
      <c r="AK63" s="118" t="s">
        <v>2074</v>
      </c>
      <c r="AL63" s="118">
        <v>0.75</v>
      </c>
      <c r="AN63" s="151" t="s">
        <v>644</v>
      </c>
      <c r="AO63" s="118">
        <v>0.6</v>
      </c>
      <c r="AQ63" s="151" t="s">
        <v>2320</v>
      </c>
      <c r="AR63" s="118">
        <v>0.6</v>
      </c>
      <c r="AT63" s="118" t="s">
        <v>1545</v>
      </c>
      <c r="AU63" s="118">
        <v>0.6</v>
      </c>
      <c r="AW63" s="118" t="s">
        <v>1545</v>
      </c>
      <c r="AX63" s="118">
        <v>0.6</v>
      </c>
      <c r="AZ63" s="118" t="s">
        <v>1545</v>
      </c>
      <c r="BA63" s="118">
        <v>0.6</v>
      </c>
      <c r="BC63" s="118" t="s">
        <v>1545</v>
      </c>
      <c r="BD63" s="118">
        <v>0.6</v>
      </c>
      <c r="BF63" s="118" t="s">
        <v>1545</v>
      </c>
      <c r="BG63" s="118">
        <v>0.6</v>
      </c>
      <c r="BI63" s="118" t="s">
        <v>1545</v>
      </c>
      <c r="BJ63" s="118">
        <v>0.6</v>
      </c>
    </row>
    <row r="64" spans="1:62" x14ac:dyDescent="0.25">
      <c r="A64" s="162" t="str">
        <f t="shared" ca="1" si="0"/>
        <v>Пихта</v>
      </c>
      <c r="B64" s="162">
        <f t="shared" ca="1" si="1"/>
        <v>0.41</v>
      </c>
      <c r="C64" s="124"/>
      <c r="D64" s="141" t="s">
        <v>634</v>
      </c>
      <c r="E64" s="144">
        <v>1.33</v>
      </c>
      <c r="F64" s="143"/>
      <c r="G64" s="151" t="s">
        <v>670</v>
      </c>
      <c r="H64" s="122">
        <v>0.65</v>
      </c>
      <c r="I64" s="143"/>
      <c r="J64" s="122" t="s">
        <v>731</v>
      </c>
      <c r="K64" s="122">
        <v>0.7</v>
      </c>
      <c r="L64" s="124"/>
      <c r="M64" s="122" t="s">
        <v>844</v>
      </c>
      <c r="N64" s="122">
        <v>0.45</v>
      </c>
      <c r="O64" s="124"/>
      <c r="P64" s="122" t="s">
        <v>1032</v>
      </c>
      <c r="Q64" s="122">
        <v>0.7</v>
      </c>
      <c r="R64" s="124"/>
      <c r="S64" s="122" t="s">
        <v>1069</v>
      </c>
      <c r="T64" s="122">
        <v>0.77</v>
      </c>
      <c r="U64" s="124"/>
      <c r="V64" s="122" t="s">
        <v>984</v>
      </c>
      <c r="W64" s="122">
        <v>1.3</v>
      </c>
      <c r="X64" s="124"/>
      <c r="Y64" s="122" t="s">
        <v>1538</v>
      </c>
      <c r="Z64" s="122">
        <v>0.71</v>
      </c>
      <c r="AA64" s="124"/>
      <c r="AB64" s="122" t="s">
        <v>1339</v>
      </c>
      <c r="AC64" s="122">
        <v>1.33</v>
      </c>
      <c r="AD64" s="124"/>
      <c r="AE64" s="122" t="s">
        <v>1502</v>
      </c>
      <c r="AF64" s="118">
        <v>0.41</v>
      </c>
      <c r="AH64" s="118" t="s">
        <v>1908</v>
      </c>
      <c r="AI64" s="118">
        <v>1.33</v>
      </c>
      <c r="AK64" s="118" t="s">
        <v>2075</v>
      </c>
      <c r="AL64" s="118">
        <v>0.65</v>
      </c>
      <c r="AN64" s="151" t="s">
        <v>670</v>
      </c>
      <c r="AO64" s="118">
        <v>1.33</v>
      </c>
      <c r="AQ64" s="151" t="s">
        <v>2341</v>
      </c>
      <c r="AR64" s="118">
        <v>1.33</v>
      </c>
      <c r="AT64" s="118" t="s">
        <v>1546</v>
      </c>
      <c r="AU64" s="118">
        <v>1.33</v>
      </c>
      <c r="AW64" s="118" t="s">
        <v>1546</v>
      </c>
      <c r="AX64" s="118">
        <v>1.33</v>
      </c>
      <c r="AZ64" s="118" t="s">
        <v>1546</v>
      </c>
      <c r="BA64" s="118">
        <v>1.33</v>
      </c>
      <c r="BC64" s="118" t="s">
        <v>1546</v>
      </c>
      <c r="BD64" s="118">
        <v>1.33</v>
      </c>
      <c r="BF64" s="118" t="s">
        <v>1546</v>
      </c>
      <c r="BG64" s="118">
        <v>1.33</v>
      </c>
      <c r="BI64" s="118" t="s">
        <v>1546</v>
      </c>
      <c r="BJ64" s="118">
        <v>1.33</v>
      </c>
    </row>
    <row r="65" spans="1:62" x14ac:dyDescent="0.25">
      <c r="A65" s="162" t="str">
        <f t="shared" ca="1" si="0"/>
        <v>Платан</v>
      </c>
      <c r="B65" s="162">
        <f t="shared" ca="1" si="1"/>
        <v>0.6</v>
      </c>
      <c r="C65" s="124"/>
      <c r="D65" s="138" t="s">
        <v>635</v>
      </c>
      <c r="E65" s="139">
        <v>0.67</v>
      </c>
      <c r="F65" s="124"/>
      <c r="G65" s="151" t="s">
        <v>649</v>
      </c>
      <c r="H65" s="122">
        <v>0.7</v>
      </c>
      <c r="I65" s="124"/>
      <c r="J65" s="122" t="s">
        <v>748</v>
      </c>
      <c r="K65" s="122">
        <v>0.77</v>
      </c>
      <c r="L65" s="124"/>
      <c r="M65" s="122" t="s">
        <v>849</v>
      </c>
      <c r="N65" s="122">
        <v>0.5</v>
      </c>
      <c r="O65" s="124"/>
      <c r="P65" s="122" t="s">
        <v>1029</v>
      </c>
      <c r="Q65" s="122">
        <v>0.8</v>
      </c>
      <c r="R65" s="124"/>
      <c r="S65" s="122" t="s">
        <v>1055</v>
      </c>
      <c r="T65" s="122">
        <v>0.7</v>
      </c>
      <c r="U65" s="124"/>
      <c r="V65" s="122" t="s">
        <v>1000</v>
      </c>
      <c r="W65" s="122">
        <v>1.33</v>
      </c>
      <c r="X65" s="124"/>
      <c r="Y65" s="122" t="s">
        <v>1539</v>
      </c>
      <c r="Z65" s="122">
        <v>0.16</v>
      </c>
      <c r="AA65" s="124"/>
      <c r="AB65" s="122" t="s">
        <v>1340</v>
      </c>
      <c r="AC65" s="122">
        <v>0.67</v>
      </c>
      <c r="AD65" s="124"/>
      <c r="AE65" s="122" t="s">
        <v>1499</v>
      </c>
      <c r="AF65" s="118">
        <v>0.6</v>
      </c>
      <c r="AH65" s="118" t="s">
        <v>1909</v>
      </c>
      <c r="AI65" s="118">
        <v>0.67</v>
      </c>
      <c r="AK65" s="118" t="s">
        <v>2076</v>
      </c>
      <c r="AL65" s="118">
        <v>0.7</v>
      </c>
      <c r="AN65" s="151" t="s">
        <v>649</v>
      </c>
      <c r="AO65" s="118">
        <v>0.67</v>
      </c>
      <c r="AQ65" s="151" t="s">
        <v>2324</v>
      </c>
      <c r="AR65" s="118">
        <v>0.67</v>
      </c>
      <c r="AT65" s="118" t="s">
        <v>1537</v>
      </c>
      <c r="AU65" s="118">
        <v>0.67</v>
      </c>
      <c r="AW65" s="118" t="s">
        <v>1537</v>
      </c>
      <c r="AX65" s="118">
        <v>0.67</v>
      </c>
      <c r="AZ65" s="118" t="s">
        <v>1537</v>
      </c>
      <c r="BA65" s="118">
        <v>0.67</v>
      </c>
      <c r="BC65" s="118" t="s">
        <v>1537</v>
      </c>
      <c r="BD65" s="118">
        <v>0.67</v>
      </c>
      <c r="BF65" s="118" t="s">
        <v>1537</v>
      </c>
      <c r="BG65" s="118">
        <v>0.67</v>
      </c>
      <c r="BI65" s="118" t="s">
        <v>1537</v>
      </c>
      <c r="BJ65" s="118">
        <v>0.67</v>
      </c>
    </row>
    <row r="66" spans="1:62" x14ac:dyDescent="0.25">
      <c r="A66" s="162" t="str">
        <f t="shared" ca="1" si="0"/>
        <v>Рамин</v>
      </c>
      <c r="B66" s="162">
        <f t="shared" ca="1" si="1"/>
        <v>0.67</v>
      </c>
      <c r="C66" s="124"/>
      <c r="D66" s="138" t="s">
        <v>636</v>
      </c>
      <c r="E66" s="139">
        <v>0.7</v>
      </c>
      <c r="F66" s="124"/>
      <c r="G66" s="151" t="s">
        <v>666</v>
      </c>
      <c r="H66" s="122">
        <v>0.77</v>
      </c>
      <c r="I66" s="143"/>
      <c r="J66" s="122" t="s">
        <v>1049</v>
      </c>
      <c r="K66" s="122">
        <v>0.6</v>
      </c>
      <c r="L66" s="124"/>
      <c r="M66" s="122" t="s">
        <v>850</v>
      </c>
      <c r="N66" s="122">
        <v>0.41</v>
      </c>
      <c r="O66" s="124"/>
      <c r="P66" s="122" t="s">
        <v>635</v>
      </c>
      <c r="Q66" s="122">
        <v>0.67</v>
      </c>
      <c r="R66" s="124"/>
      <c r="S66" s="122" t="s">
        <v>1061</v>
      </c>
      <c r="T66" s="122">
        <v>0.45</v>
      </c>
      <c r="U66" s="124"/>
      <c r="V66" s="122" t="s">
        <v>981</v>
      </c>
      <c r="W66" s="122">
        <v>0.7</v>
      </c>
      <c r="X66" s="124"/>
      <c r="Y66" s="122" t="s">
        <v>1540</v>
      </c>
      <c r="Z66" s="122">
        <v>0.53</v>
      </c>
      <c r="AA66" s="124"/>
      <c r="AB66" s="122" t="s">
        <v>1341</v>
      </c>
      <c r="AC66" s="122">
        <v>0.7</v>
      </c>
      <c r="AD66" s="124"/>
      <c r="AE66" s="122" t="s">
        <v>1500</v>
      </c>
      <c r="AF66" s="118">
        <v>0.67</v>
      </c>
      <c r="AH66" s="118" t="s">
        <v>1910</v>
      </c>
      <c r="AI66" s="118">
        <v>0.7</v>
      </c>
      <c r="AK66" s="118" t="s">
        <v>2077</v>
      </c>
      <c r="AL66" s="118">
        <v>0.77</v>
      </c>
      <c r="AN66" s="151" t="s">
        <v>666</v>
      </c>
      <c r="AO66" s="118">
        <v>0.7</v>
      </c>
      <c r="AQ66" s="151" t="s">
        <v>2342</v>
      </c>
      <c r="AR66" s="118">
        <v>0.7</v>
      </c>
      <c r="AT66" s="118" t="s">
        <v>1547</v>
      </c>
      <c r="AU66" s="118">
        <v>0.7</v>
      </c>
      <c r="AW66" s="118" t="s">
        <v>1547</v>
      </c>
      <c r="AX66" s="118">
        <v>0.7</v>
      </c>
      <c r="AZ66" s="118" t="s">
        <v>1547</v>
      </c>
      <c r="BA66" s="118">
        <v>0.7</v>
      </c>
      <c r="BC66" s="118" t="s">
        <v>1547</v>
      </c>
      <c r="BD66" s="118">
        <v>0.7</v>
      </c>
      <c r="BF66" s="118" t="s">
        <v>1547</v>
      </c>
      <c r="BG66" s="118">
        <v>0.7</v>
      </c>
      <c r="BI66" s="118" t="s">
        <v>1547</v>
      </c>
      <c r="BJ66" s="118">
        <v>0.7</v>
      </c>
    </row>
    <row r="67" spans="1:62" x14ac:dyDescent="0.25">
      <c r="A67" s="162" t="str">
        <f t="shared" ca="1" si="0"/>
        <v>Секвойя</v>
      </c>
      <c r="B67" s="162">
        <f t="shared" ca="1" si="1"/>
        <v>0.51</v>
      </c>
      <c r="C67" s="124"/>
      <c r="D67" s="141" t="s">
        <v>150</v>
      </c>
      <c r="E67" s="144">
        <v>0.65</v>
      </c>
      <c r="F67" s="143"/>
      <c r="G67" s="151" t="s">
        <v>659</v>
      </c>
      <c r="H67" s="122">
        <v>0.45</v>
      </c>
      <c r="I67" s="143"/>
      <c r="J67" s="122" t="s">
        <v>746</v>
      </c>
      <c r="K67" s="122">
        <v>0.5</v>
      </c>
      <c r="L67" s="124"/>
      <c r="M67" s="122" t="s">
        <v>851</v>
      </c>
      <c r="N67" s="122">
        <v>0.6</v>
      </c>
      <c r="O67" s="124"/>
      <c r="P67" s="122" t="s">
        <v>1025</v>
      </c>
      <c r="Q67" s="122">
        <v>0.7</v>
      </c>
      <c r="R67" s="124"/>
      <c r="S67" s="122" t="s">
        <v>844</v>
      </c>
      <c r="T67" s="122">
        <v>0.45</v>
      </c>
      <c r="U67" s="124"/>
      <c r="V67" s="122" t="s">
        <v>992</v>
      </c>
      <c r="W67" s="122">
        <v>0.45</v>
      </c>
      <c r="X67" s="124"/>
      <c r="Y67" s="122" t="s">
        <v>1541</v>
      </c>
      <c r="Z67" s="122">
        <v>0.43</v>
      </c>
      <c r="AA67" s="124"/>
      <c r="AB67" s="122" t="s">
        <v>1308</v>
      </c>
      <c r="AC67" s="122">
        <v>0.65</v>
      </c>
      <c r="AD67" s="124"/>
      <c r="AE67" s="122" t="s">
        <v>1496</v>
      </c>
      <c r="AF67" s="118">
        <v>0.51</v>
      </c>
      <c r="AH67" s="118" t="s">
        <v>1911</v>
      </c>
      <c r="AI67" s="118">
        <v>0.65</v>
      </c>
      <c r="AK67" s="118" t="s">
        <v>1021</v>
      </c>
      <c r="AL67" s="118">
        <v>0.45</v>
      </c>
      <c r="AN67" s="151" t="s">
        <v>659</v>
      </c>
      <c r="AO67" s="118">
        <v>0.65</v>
      </c>
      <c r="AQ67" s="151" t="s">
        <v>2319</v>
      </c>
      <c r="AR67" s="118">
        <v>0.65</v>
      </c>
      <c r="AT67" s="118" t="s">
        <v>1551</v>
      </c>
      <c r="AU67" s="118">
        <v>0.65</v>
      </c>
      <c r="AW67" s="118" t="s">
        <v>1551</v>
      </c>
      <c r="AX67" s="118">
        <v>0.65</v>
      </c>
      <c r="AZ67" s="118" t="s">
        <v>1551</v>
      </c>
      <c r="BA67" s="118">
        <v>0.65</v>
      </c>
      <c r="BC67" s="118" t="s">
        <v>1551</v>
      </c>
      <c r="BD67" s="118">
        <v>0.65</v>
      </c>
      <c r="BF67" s="118" t="s">
        <v>1551</v>
      </c>
      <c r="BG67" s="118">
        <v>0.65</v>
      </c>
      <c r="BI67" s="118" t="s">
        <v>1551</v>
      </c>
      <c r="BJ67" s="118">
        <v>0.65</v>
      </c>
    </row>
    <row r="68" spans="1:62" x14ac:dyDescent="0.25">
      <c r="A68" s="162" t="str">
        <f t="shared" ca="1" si="0"/>
        <v>Сосна</v>
      </c>
      <c r="B68" s="162">
        <f t="shared" ca="1" si="1"/>
        <v>0.45</v>
      </c>
      <c r="C68" s="124"/>
      <c r="D68" s="138" t="s">
        <v>637</v>
      </c>
      <c r="E68" s="139">
        <v>0.41</v>
      </c>
      <c r="F68" s="124"/>
      <c r="G68" s="151" t="s">
        <v>664</v>
      </c>
      <c r="H68" s="122">
        <v>0.5</v>
      </c>
      <c r="I68" s="143"/>
      <c r="J68" s="122" t="s">
        <v>747</v>
      </c>
      <c r="K68" s="122">
        <v>0.41</v>
      </c>
      <c r="L68" s="124"/>
      <c r="M68" s="122" t="s">
        <v>854</v>
      </c>
      <c r="N68" s="122">
        <v>0.7</v>
      </c>
      <c r="O68" s="124"/>
      <c r="P68" s="122" t="s">
        <v>1019</v>
      </c>
      <c r="Q68" s="122">
        <v>0.41</v>
      </c>
      <c r="R68" s="124"/>
      <c r="S68" s="122" t="s">
        <v>1070</v>
      </c>
      <c r="T68" s="122">
        <v>0.6</v>
      </c>
      <c r="U68" s="124"/>
      <c r="V68" s="122" t="s">
        <v>994</v>
      </c>
      <c r="W68" s="122">
        <v>0.55000000000000004</v>
      </c>
      <c r="X68" s="124"/>
      <c r="Y68" s="122" t="s">
        <v>1542</v>
      </c>
      <c r="Z68" s="122">
        <v>0.5</v>
      </c>
      <c r="AA68" s="124"/>
      <c r="AB68" s="122" t="s">
        <v>1342</v>
      </c>
      <c r="AC68" s="122">
        <v>0.41</v>
      </c>
      <c r="AD68" s="124"/>
      <c r="AE68" s="122" t="s">
        <v>1493</v>
      </c>
      <c r="AF68" s="118">
        <v>0.45</v>
      </c>
      <c r="AH68" s="118" t="s">
        <v>1893</v>
      </c>
      <c r="AI68" s="118">
        <v>0.41</v>
      </c>
      <c r="AK68" s="118" t="s">
        <v>2078</v>
      </c>
      <c r="AL68" s="118">
        <v>0.5</v>
      </c>
      <c r="AN68" s="151" t="s">
        <v>664</v>
      </c>
      <c r="AO68" s="118">
        <v>0.41</v>
      </c>
      <c r="AQ68" s="151" t="s">
        <v>2343</v>
      </c>
      <c r="AR68" s="118">
        <v>0.41</v>
      </c>
      <c r="AT68" s="118" t="s">
        <v>1572</v>
      </c>
      <c r="AU68" s="118">
        <v>0.41</v>
      </c>
      <c r="AW68" s="118" t="s">
        <v>1572</v>
      </c>
      <c r="AX68" s="118">
        <v>0.41</v>
      </c>
      <c r="AZ68" s="118" t="s">
        <v>1572</v>
      </c>
      <c r="BA68" s="118">
        <v>0.41</v>
      </c>
      <c r="BC68" s="118" t="s">
        <v>1572</v>
      </c>
      <c r="BD68" s="118">
        <v>0.41</v>
      </c>
      <c r="BF68" s="118" t="s">
        <v>1572</v>
      </c>
      <c r="BG68" s="118">
        <v>0.41</v>
      </c>
      <c r="BI68" s="118" t="s">
        <v>1572</v>
      </c>
      <c r="BJ68" s="118">
        <v>0.41</v>
      </c>
    </row>
    <row r="69" spans="1:62" x14ac:dyDescent="0.25">
      <c r="A69" s="162" t="str">
        <f t="shared" ca="1" si="0"/>
        <v>Тик</v>
      </c>
      <c r="B69" s="162">
        <f t="shared" ca="1" si="1"/>
        <v>0.98</v>
      </c>
      <c r="C69" s="124"/>
      <c r="D69" s="141" t="s">
        <v>638</v>
      </c>
      <c r="E69" s="144">
        <v>0.98</v>
      </c>
      <c r="F69" s="143"/>
      <c r="G69" s="122" t="s">
        <v>635</v>
      </c>
      <c r="H69" s="122">
        <v>0.67</v>
      </c>
      <c r="I69" s="143"/>
      <c r="J69" s="122" t="s">
        <v>854</v>
      </c>
      <c r="K69" s="122">
        <v>0.7</v>
      </c>
      <c r="L69" s="124"/>
      <c r="M69" s="122" t="s">
        <v>858</v>
      </c>
      <c r="N69" s="122">
        <v>0.6</v>
      </c>
      <c r="O69" s="124"/>
      <c r="P69" s="122" t="s">
        <v>1018</v>
      </c>
      <c r="Q69" s="122">
        <v>0.45</v>
      </c>
      <c r="R69" s="124"/>
      <c r="S69" s="122" t="s">
        <v>854</v>
      </c>
      <c r="T69" s="122">
        <v>0.7</v>
      </c>
      <c r="U69" s="124"/>
      <c r="V69" s="122" t="s">
        <v>999</v>
      </c>
      <c r="W69" s="122">
        <v>0.6</v>
      </c>
      <c r="X69" s="124"/>
      <c r="Y69" s="122" t="s">
        <v>1543</v>
      </c>
      <c r="Z69" s="122">
        <v>0.66</v>
      </c>
      <c r="AA69" s="124"/>
      <c r="AB69" s="122" t="s">
        <v>1343</v>
      </c>
      <c r="AC69" s="122">
        <v>0.98</v>
      </c>
      <c r="AD69" s="124"/>
      <c r="AE69" s="151" t="s">
        <v>1529</v>
      </c>
      <c r="AF69" s="118">
        <v>0.98</v>
      </c>
      <c r="AH69" s="118" t="s">
        <v>1912</v>
      </c>
      <c r="AI69" s="118">
        <v>0.98</v>
      </c>
      <c r="AK69" s="118" t="s">
        <v>635</v>
      </c>
      <c r="AL69" s="118">
        <v>0.67</v>
      </c>
      <c r="AN69" s="329" t="s">
        <v>635</v>
      </c>
      <c r="AO69" s="118">
        <v>0.98</v>
      </c>
      <c r="AQ69" s="329" t="s">
        <v>2344</v>
      </c>
      <c r="AR69" s="118">
        <v>0.98</v>
      </c>
      <c r="AT69" s="118" t="s">
        <v>1573</v>
      </c>
      <c r="AU69" s="118">
        <v>0.98</v>
      </c>
      <c r="AW69" s="118" t="s">
        <v>1573</v>
      </c>
      <c r="AX69" s="118">
        <v>0.98</v>
      </c>
      <c r="AZ69" s="118" t="s">
        <v>1573</v>
      </c>
      <c r="BA69" s="118">
        <v>0.98</v>
      </c>
      <c r="BC69" s="118" t="s">
        <v>1573</v>
      </c>
      <c r="BD69" s="118">
        <v>0.98</v>
      </c>
      <c r="BF69" s="118" t="s">
        <v>1573</v>
      </c>
      <c r="BG69" s="118">
        <v>0.98</v>
      </c>
      <c r="BI69" s="118" t="s">
        <v>1573</v>
      </c>
      <c r="BJ69" s="118">
        <v>0.98</v>
      </c>
    </row>
    <row r="70" spans="1:62" x14ac:dyDescent="0.25">
      <c r="A70" s="162" t="str">
        <f t="shared" ca="1" si="0"/>
        <v>Тополь</v>
      </c>
      <c r="B70" s="162">
        <f t="shared" ca="1" si="1"/>
        <v>0.5</v>
      </c>
      <c r="C70" s="124"/>
      <c r="D70" s="138" t="s">
        <v>639</v>
      </c>
      <c r="E70" s="139">
        <v>0.82</v>
      </c>
      <c r="F70" s="124"/>
      <c r="G70" s="151" t="s">
        <v>663</v>
      </c>
      <c r="H70" s="122">
        <v>0.51</v>
      </c>
      <c r="I70" s="143"/>
      <c r="J70" s="122" t="s">
        <v>749</v>
      </c>
      <c r="K70" s="122">
        <v>0.65</v>
      </c>
      <c r="L70" s="124"/>
      <c r="M70" s="122" t="s">
        <v>848</v>
      </c>
      <c r="N70" s="122">
        <v>0.51</v>
      </c>
      <c r="O70" s="124"/>
      <c r="P70" s="122" t="s">
        <v>1046</v>
      </c>
      <c r="Q70" s="122">
        <v>0.6</v>
      </c>
      <c r="R70" s="124"/>
      <c r="S70" s="122" t="s">
        <v>1075</v>
      </c>
      <c r="T70" s="122">
        <v>0.6</v>
      </c>
      <c r="U70" s="124"/>
      <c r="V70" s="122" t="s">
        <v>854</v>
      </c>
      <c r="W70" s="122">
        <v>0.7</v>
      </c>
      <c r="X70" s="124"/>
      <c r="Y70" s="122" t="s">
        <v>1544</v>
      </c>
      <c r="Z70" s="122">
        <v>0.77</v>
      </c>
      <c r="AA70" s="124"/>
      <c r="AB70" s="122" t="s">
        <v>1344</v>
      </c>
      <c r="AC70" s="122">
        <v>0.82</v>
      </c>
      <c r="AD70" s="124"/>
      <c r="AE70" s="122" t="s">
        <v>1497</v>
      </c>
      <c r="AF70" s="118">
        <v>0.5</v>
      </c>
      <c r="AH70" s="118" t="s">
        <v>1913</v>
      </c>
      <c r="AI70" s="118">
        <v>0.82</v>
      </c>
      <c r="AK70" s="118" t="s">
        <v>2079</v>
      </c>
      <c r="AL70" s="118">
        <v>0.51</v>
      </c>
      <c r="AN70" s="151" t="s">
        <v>663</v>
      </c>
      <c r="AO70" s="118">
        <v>0.82</v>
      </c>
      <c r="AQ70" s="151" t="s">
        <v>2345</v>
      </c>
      <c r="AR70" s="118">
        <v>0.82</v>
      </c>
      <c r="AT70" s="118" t="s">
        <v>1574</v>
      </c>
      <c r="AU70" s="118">
        <v>0.82</v>
      </c>
      <c r="AW70" s="118" t="s">
        <v>1574</v>
      </c>
      <c r="AX70" s="118">
        <v>0.82</v>
      </c>
      <c r="AZ70" s="118" t="s">
        <v>1574</v>
      </c>
      <c r="BA70" s="118">
        <v>0.82</v>
      </c>
      <c r="BC70" s="118" t="s">
        <v>1574</v>
      </c>
      <c r="BD70" s="118">
        <v>0.82</v>
      </c>
      <c r="BF70" s="118" t="s">
        <v>1574</v>
      </c>
      <c r="BG70" s="118">
        <v>0.82</v>
      </c>
      <c r="BI70" s="118" t="s">
        <v>1574</v>
      </c>
      <c r="BJ70" s="118">
        <v>0.82</v>
      </c>
    </row>
    <row r="71" spans="1:62" x14ac:dyDescent="0.25">
      <c r="A71" s="162" t="str">
        <f t="shared" ca="1" si="0"/>
        <v>Тсуга</v>
      </c>
      <c r="B71" s="162">
        <f t="shared" ca="1" si="1"/>
        <v>0.5</v>
      </c>
      <c r="C71" s="124"/>
      <c r="D71" s="138" t="s">
        <v>1073</v>
      </c>
      <c r="E71" s="139">
        <v>0.83</v>
      </c>
      <c r="F71" s="124"/>
      <c r="G71" s="151" t="s">
        <v>656</v>
      </c>
      <c r="H71" s="122">
        <v>0.45</v>
      </c>
      <c r="I71" s="143"/>
      <c r="J71" s="122" t="s">
        <v>638</v>
      </c>
      <c r="K71" s="122">
        <v>0.98</v>
      </c>
      <c r="L71" s="124"/>
      <c r="M71" s="122" t="s">
        <v>638</v>
      </c>
      <c r="N71" s="122">
        <v>0.98</v>
      </c>
      <c r="O71" s="124"/>
      <c r="P71" s="122" t="s">
        <v>1038</v>
      </c>
      <c r="Q71" s="122">
        <v>0.51</v>
      </c>
      <c r="R71" s="124"/>
      <c r="S71" s="122" t="s">
        <v>1067</v>
      </c>
      <c r="T71" s="122">
        <v>0.51</v>
      </c>
      <c r="U71" s="124"/>
      <c r="V71" s="122" t="s">
        <v>1005</v>
      </c>
      <c r="W71" s="122">
        <v>0.6</v>
      </c>
      <c r="X71" s="124"/>
      <c r="Y71" s="122" t="s">
        <v>1545</v>
      </c>
      <c r="Z71" s="122">
        <v>0.6</v>
      </c>
      <c r="AA71" s="124"/>
      <c r="AB71" s="122" t="s">
        <v>1345</v>
      </c>
      <c r="AC71" s="122">
        <v>0.83</v>
      </c>
      <c r="AD71" s="124"/>
      <c r="AE71" s="151" t="s">
        <v>1524</v>
      </c>
      <c r="AF71" s="118">
        <v>0.5</v>
      </c>
      <c r="AH71" s="118" t="s">
        <v>1914</v>
      </c>
      <c r="AI71" s="118">
        <v>0.83</v>
      </c>
      <c r="AK71" s="118" t="s">
        <v>2080</v>
      </c>
      <c r="AL71" s="118">
        <v>0.45</v>
      </c>
      <c r="AN71" s="151" t="s">
        <v>656</v>
      </c>
      <c r="AO71" s="118">
        <v>0.83</v>
      </c>
      <c r="AQ71" s="151" t="s">
        <v>2340</v>
      </c>
      <c r="AR71" s="118">
        <v>0.83</v>
      </c>
      <c r="AT71" s="118" t="s">
        <v>1575</v>
      </c>
      <c r="AU71" s="118">
        <v>0.83</v>
      </c>
      <c r="AW71" s="118" t="s">
        <v>1575</v>
      </c>
      <c r="AX71" s="118">
        <v>0.83</v>
      </c>
      <c r="AZ71" s="118" t="s">
        <v>1575</v>
      </c>
      <c r="BA71" s="118">
        <v>0.83</v>
      </c>
      <c r="BC71" s="118" t="s">
        <v>1575</v>
      </c>
      <c r="BD71" s="118">
        <v>0.83</v>
      </c>
      <c r="BF71" s="118" t="s">
        <v>1575</v>
      </c>
      <c r="BG71" s="118">
        <v>0.83</v>
      </c>
      <c r="BI71" s="118" t="s">
        <v>1575</v>
      </c>
      <c r="BJ71" s="118">
        <v>0.83</v>
      </c>
    </row>
    <row r="72" spans="1:62" x14ac:dyDescent="0.25">
      <c r="A72" s="162" t="str">
        <f t="shared" ca="1" si="0"/>
        <v>Эбеновое дерево</v>
      </c>
      <c r="B72" s="162">
        <f t="shared" ca="1" si="1"/>
        <v>1.3</v>
      </c>
      <c r="C72" s="124"/>
      <c r="D72" s="138" t="s">
        <v>640</v>
      </c>
      <c r="E72" s="139">
        <v>0.6</v>
      </c>
      <c r="F72" s="124"/>
      <c r="G72" s="151" t="s">
        <v>667</v>
      </c>
      <c r="H72" s="122">
        <v>0.6</v>
      </c>
      <c r="I72" s="143"/>
      <c r="J72" s="122" t="s">
        <v>751</v>
      </c>
      <c r="K72" s="122">
        <v>0.83</v>
      </c>
      <c r="L72" s="124"/>
      <c r="M72" s="122" t="s">
        <v>829</v>
      </c>
      <c r="N72" s="122">
        <v>0.6</v>
      </c>
      <c r="O72" s="124"/>
      <c r="P72" s="122" t="s">
        <v>638</v>
      </c>
      <c r="Q72" s="122">
        <v>0.98</v>
      </c>
      <c r="R72" s="124"/>
      <c r="S72" s="122" t="s">
        <v>1072</v>
      </c>
      <c r="T72" s="122">
        <v>0.65</v>
      </c>
      <c r="U72" s="124"/>
      <c r="V72" s="122" t="s">
        <v>996</v>
      </c>
      <c r="W72" s="122">
        <v>0.51</v>
      </c>
      <c r="X72" s="124"/>
      <c r="Y72" s="122" t="s">
        <v>1546</v>
      </c>
      <c r="Z72" s="122">
        <v>1.33</v>
      </c>
      <c r="AA72" s="124"/>
      <c r="AB72" s="122" t="s">
        <v>1346</v>
      </c>
      <c r="AC72" s="122">
        <v>0.6</v>
      </c>
      <c r="AD72" s="124"/>
      <c r="AE72" s="122" t="s">
        <v>1487</v>
      </c>
      <c r="AF72" s="118">
        <v>1.3</v>
      </c>
      <c r="AH72" s="118" t="s">
        <v>1915</v>
      </c>
      <c r="AI72" s="118">
        <v>0.6</v>
      </c>
      <c r="AK72" s="118" t="s">
        <v>2081</v>
      </c>
      <c r="AL72" s="118">
        <v>0.6</v>
      </c>
      <c r="AN72" s="151" t="s">
        <v>667</v>
      </c>
      <c r="AO72" s="118">
        <v>0.6</v>
      </c>
      <c r="AQ72" s="151" t="s">
        <v>2346</v>
      </c>
      <c r="AR72" s="118">
        <v>0.6</v>
      </c>
      <c r="AT72" s="118" t="s">
        <v>1576</v>
      </c>
      <c r="AU72" s="118">
        <v>0.6</v>
      </c>
      <c r="AW72" s="118" t="s">
        <v>1576</v>
      </c>
      <c r="AX72" s="118">
        <v>0.6</v>
      </c>
      <c r="AZ72" s="118" t="s">
        <v>1576</v>
      </c>
      <c r="BA72" s="118">
        <v>0.6</v>
      </c>
      <c r="BC72" s="118" t="s">
        <v>1576</v>
      </c>
      <c r="BD72" s="118">
        <v>0.6</v>
      </c>
      <c r="BF72" s="118" t="s">
        <v>1576</v>
      </c>
      <c r="BG72" s="118">
        <v>0.6</v>
      </c>
      <c r="BI72" s="118" t="s">
        <v>1576</v>
      </c>
      <c r="BJ72" s="118">
        <v>0.6</v>
      </c>
    </row>
    <row r="73" spans="1:62" x14ac:dyDescent="0.25">
      <c r="A73" s="162" t="str">
        <f t="shared" ca="1" si="0"/>
        <v>Яблоня</v>
      </c>
      <c r="B73" s="162">
        <f t="shared" ca="1" si="1"/>
        <v>0.8</v>
      </c>
      <c r="C73" s="124"/>
      <c r="D73" s="138" t="s">
        <v>641</v>
      </c>
      <c r="E73" s="139">
        <v>0.57999999999999996</v>
      </c>
      <c r="F73" s="124"/>
      <c r="G73" s="151" t="s">
        <v>638</v>
      </c>
      <c r="H73" s="122">
        <v>0.98</v>
      </c>
      <c r="I73" s="143"/>
      <c r="J73" s="122" t="s">
        <v>752</v>
      </c>
      <c r="K73" s="122">
        <v>0.6</v>
      </c>
      <c r="L73" s="124"/>
      <c r="M73" s="122" t="s">
        <v>839</v>
      </c>
      <c r="N73" s="122">
        <v>0.42</v>
      </c>
      <c r="O73" s="124"/>
      <c r="P73" s="122" t="s">
        <v>1035</v>
      </c>
      <c r="Q73" s="122">
        <v>0.42</v>
      </c>
      <c r="R73" s="124"/>
      <c r="S73" s="122" t="s">
        <v>1003</v>
      </c>
      <c r="T73" s="122">
        <v>0.98</v>
      </c>
      <c r="U73" s="124"/>
      <c r="V73" s="122" t="s">
        <v>1003</v>
      </c>
      <c r="W73" s="122">
        <v>0.98</v>
      </c>
      <c r="X73" s="124"/>
      <c r="Y73" s="122" t="s">
        <v>1537</v>
      </c>
      <c r="Z73" s="122">
        <v>0.67</v>
      </c>
      <c r="AA73" s="124"/>
      <c r="AB73" s="122" t="s">
        <v>1347</v>
      </c>
      <c r="AC73" s="122">
        <v>0.57999999999999996</v>
      </c>
      <c r="AD73" s="124"/>
      <c r="AE73" s="122" t="s">
        <v>1480</v>
      </c>
      <c r="AF73" s="118">
        <v>0.8</v>
      </c>
      <c r="AH73" s="118" t="s">
        <v>1916</v>
      </c>
      <c r="AI73" s="118">
        <v>0.57999999999999996</v>
      </c>
      <c r="AK73" s="118" t="s">
        <v>2082</v>
      </c>
      <c r="AL73" s="118">
        <v>0.98</v>
      </c>
      <c r="AN73" s="151" t="s">
        <v>638</v>
      </c>
      <c r="AO73" s="118">
        <v>0.57999999999999996</v>
      </c>
      <c r="AQ73" s="151" t="s">
        <v>2347</v>
      </c>
      <c r="AR73" s="118">
        <v>0.57999999999999996</v>
      </c>
      <c r="AT73" s="118" t="s">
        <v>1577</v>
      </c>
      <c r="AU73" s="118">
        <v>0.57999999999999996</v>
      </c>
      <c r="AW73" s="118" t="s">
        <v>1577</v>
      </c>
      <c r="AX73" s="118">
        <v>0.57999999999999996</v>
      </c>
      <c r="AZ73" s="118" t="s">
        <v>1577</v>
      </c>
      <c r="BA73" s="118">
        <v>0.57999999999999996</v>
      </c>
      <c r="BC73" s="118" t="s">
        <v>1577</v>
      </c>
      <c r="BD73" s="118">
        <v>0.57999999999999996</v>
      </c>
      <c r="BF73" s="118" t="s">
        <v>1577</v>
      </c>
      <c r="BG73" s="118">
        <v>0.57999999999999996</v>
      </c>
      <c r="BI73" s="118" t="s">
        <v>1577</v>
      </c>
      <c r="BJ73" s="118">
        <v>0.57999999999999996</v>
      </c>
    </row>
    <row r="74" spans="1:62" x14ac:dyDescent="0.25">
      <c r="A74" s="162" t="str">
        <f t="shared" ca="1" si="0"/>
        <v>Ясень</v>
      </c>
      <c r="B74" s="162">
        <f t="shared" ca="1" si="1"/>
        <v>0.71</v>
      </c>
      <c r="C74" s="124"/>
      <c r="D74" s="138" t="s">
        <v>642</v>
      </c>
      <c r="E74" s="139">
        <v>0.51</v>
      </c>
      <c r="F74" s="124"/>
      <c r="G74" s="151" t="s">
        <v>674</v>
      </c>
      <c r="H74" s="122">
        <v>0.6</v>
      </c>
      <c r="I74" s="143"/>
      <c r="J74" s="122" t="s">
        <v>1537</v>
      </c>
      <c r="K74" s="122">
        <v>0.67</v>
      </c>
      <c r="L74" s="124"/>
      <c r="M74" s="122" t="s">
        <v>842</v>
      </c>
      <c r="N74" s="122">
        <v>0.5</v>
      </c>
      <c r="O74" s="124"/>
      <c r="P74" s="122" t="s">
        <v>1028</v>
      </c>
      <c r="Q74" s="122">
        <v>0.6</v>
      </c>
      <c r="R74" s="124"/>
      <c r="S74" s="122" t="s">
        <v>1051</v>
      </c>
      <c r="T74" s="122">
        <v>0.6</v>
      </c>
      <c r="U74" s="124"/>
      <c r="V74" s="122" t="s">
        <v>978</v>
      </c>
      <c r="W74" s="122">
        <v>0.6</v>
      </c>
      <c r="X74" s="124"/>
      <c r="Y74" s="122" t="s">
        <v>1547</v>
      </c>
      <c r="Z74" s="122">
        <v>0.7</v>
      </c>
      <c r="AA74" s="124"/>
      <c r="AB74" s="122" t="s">
        <v>1348</v>
      </c>
      <c r="AC74" s="122">
        <v>0.51</v>
      </c>
      <c r="AD74" s="124"/>
      <c r="AE74" s="122" t="s">
        <v>1489</v>
      </c>
      <c r="AF74" s="118">
        <v>0.71</v>
      </c>
      <c r="AH74" s="118" t="s">
        <v>1917</v>
      </c>
      <c r="AI74" s="118">
        <v>0.51</v>
      </c>
      <c r="AK74" s="118" t="s">
        <v>2083</v>
      </c>
      <c r="AL74" s="118">
        <v>0.6</v>
      </c>
      <c r="AN74" s="151" t="s">
        <v>674</v>
      </c>
      <c r="AO74" s="118">
        <v>0.51</v>
      </c>
      <c r="AQ74" s="151" t="s">
        <v>2348</v>
      </c>
      <c r="AR74" s="118">
        <v>0.51</v>
      </c>
      <c r="AT74" s="118" t="s">
        <v>1578</v>
      </c>
      <c r="AU74" s="118">
        <v>0.51</v>
      </c>
      <c r="AW74" s="118" t="s">
        <v>1578</v>
      </c>
      <c r="AX74" s="118">
        <v>0.51</v>
      </c>
      <c r="AZ74" s="118" t="s">
        <v>1578</v>
      </c>
      <c r="BA74" s="118">
        <v>0.51</v>
      </c>
      <c r="BC74" s="118" t="s">
        <v>1578</v>
      </c>
      <c r="BD74" s="118">
        <v>0.51</v>
      </c>
      <c r="BF74" s="118" t="s">
        <v>1578</v>
      </c>
      <c r="BG74" s="118">
        <v>0.51</v>
      </c>
      <c r="BI74" s="118" t="s">
        <v>1578</v>
      </c>
      <c r="BJ74" s="118">
        <v>0.51</v>
      </c>
    </row>
    <row r="75" spans="1:62" x14ac:dyDescent="0.25">
      <c r="A75" s="162" t="str">
        <f t="shared" ca="1" si="0"/>
        <v/>
      </c>
      <c r="B75" s="162">
        <f t="shared" ca="1" si="1"/>
        <v>0</v>
      </c>
      <c r="C75" s="124"/>
      <c r="D75" s="138" t="s">
        <v>1599</v>
      </c>
      <c r="E75" s="139">
        <v>0</v>
      </c>
      <c r="F75" s="124"/>
      <c r="G75" s="122" t="s">
        <v>1599</v>
      </c>
      <c r="H75" s="122">
        <f t="shared" ref="H75:H91" si="2">E75</f>
        <v>0</v>
      </c>
      <c r="I75" s="124"/>
      <c r="J75" s="122" t="s">
        <v>1599</v>
      </c>
      <c r="K75" s="122">
        <v>0</v>
      </c>
      <c r="L75" s="124"/>
      <c r="M75" s="122" t="s">
        <v>1599</v>
      </c>
      <c r="N75" s="122">
        <v>0</v>
      </c>
      <c r="O75" s="124"/>
      <c r="P75" s="122" t="s">
        <v>1599</v>
      </c>
      <c r="Q75" s="122">
        <v>0</v>
      </c>
      <c r="R75" s="124"/>
      <c r="S75" s="122" t="s">
        <v>1599</v>
      </c>
      <c r="T75" s="122">
        <v>0</v>
      </c>
      <c r="U75" s="124"/>
      <c r="V75" s="122" t="s">
        <v>1599</v>
      </c>
      <c r="W75" s="122">
        <v>0</v>
      </c>
      <c r="X75" s="124"/>
      <c r="Y75" s="122" t="s">
        <v>1599</v>
      </c>
      <c r="Z75" s="122">
        <v>0</v>
      </c>
      <c r="AA75" s="124"/>
      <c r="AB75" s="122" t="s">
        <v>1599</v>
      </c>
      <c r="AC75" s="122">
        <v>0</v>
      </c>
      <c r="AD75" s="124"/>
      <c r="AE75" s="122" t="s">
        <v>1599</v>
      </c>
      <c r="AF75" s="122">
        <v>0</v>
      </c>
      <c r="AH75" s="118" t="s">
        <v>1599</v>
      </c>
      <c r="AI75" s="122">
        <v>0</v>
      </c>
      <c r="AK75" s="118" t="s">
        <v>1599</v>
      </c>
      <c r="AL75" s="122">
        <v>0</v>
      </c>
      <c r="AN75" s="329" t="s">
        <v>1599</v>
      </c>
      <c r="AO75" s="122">
        <v>0</v>
      </c>
      <c r="AQ75" s="329" t="s">
        <v>1599</v>
      </c>
      <c r="AR75" s="122">
        <v>0</v>
      </c>
      <c r="AT75" s="118" t="s">
        <v>1599</v>
      </c>
      <c r="AU75" s="122">
        <v>0</v>
      </c>
      <c r="AW75" s="118" t="s">
        <v>1599</v>
      </c>
      <c r="AX75" s="122">
        <v>0</v>
      </c>
      <c r="AZ75" s="118" t="s">
        <v>1599</v>
      </c>
      <c r="BA75" s="122">
        <v>0</v>
      </c>
      <c r="BC75" s="118" t="s">
        <v>1599</v>
      </c>
      <c r="BD75" s="122">
        <v>0</v>
      </c>
      <c r="BF75" s="118" t="s">
        <v>1599</v>
      </c>
      <c r="BG75" s="122">
        <v>0</v>
      </c>
      <c r="BI75" s="118" t="s">
        <v>1599</v>
      </c>
      <c r="BJ75" s="122">
        <v>0</v>
      </c>
    </row>
    <row r="76" spans="1:62" x14ac:dyDescent="0.25">
      <c r="A76" s="162" t="str">
        <f t="shared" ca="1" si="0"/>
        <v/>
      </c>
      <c r="B76" s="162">
        <f t="shared" ca="1" si="1"/>
        <v>0</v>
      </c>
      <c r="C76" s="124"/>
      <c r="D76" s="138" t="s">
        <v>1599</v>
      </c>
      <c r="E76" s="139">
        <v>0</v>
      </c>
      <c r="F76" s="124"/>
      <c r="G76" s="122" t="s">
        <v>1599</v>
      </c>
      <c r="H76" s="122">
        <f t="shared" si="2"/>
        <v>0</v>
      </c>
      <c r="I76" s="124"/>
      <c r="J76" s="122" t="s">
        <v>1599</v>
      </c>
      <c r="K76" s="122">
        <v>0</v>
      </c>
      <c r="L76" s="124"/>
      <c r="M76" s="122" t="s">
        <v>1599</v>
      </c>
      <c r="N76" s="122">
        <v>0</v>
      </c>
      <c r="O76" s="124"/>
      <c r="P76" s="122" t="s">
        <v>1599</v>
      </c>
      <c r="Q76" s="122">
        <v>0</v>
      </c>
      <c r="R76" s="124"/>
      <c r="S76" s="122" t="s">
        <v>1599</v>
      </c>
      <c r="T76" s="122">
        <v>0</v>
      </c>
      <c r="U76" s="124"/>
      <c r="V76" s="122" t="s">
        <v>1599</v>
      </c>
      <c r="W76" s="122">
        <v>0</v>
      </c>
      <c r="X76" s="124"/>
      <c r="Y76" s="122" t="s">
        <v>1599</v>
      </c>
      <c r="Z76" s="122">
        <v>0</v>
      </c>
      <c r="AA76" s="124"/>
      <c r="AB76" s="122" t="s">
        <v>1599</v>
      </c>
      <c r="AC76" s="122">
        <v>0</v>
      </c>
      <c r="AD76" s="124"/>
      <c r="AE76" s="122" t="s">
        <v>1599</v>
      </c>
      <c r="AF76" s="122">
        <v>0</v>
      </c>
      <c r="AH76" s="118" t="s">
        <v>1599</v>
      </c>
      <c r="AI76" s="122">
        <v>0</v>
      </c>
      <c r="AK76" s="118" t="s">
        <v>1599</v>
      </c>
      <c r="AL76" s="122">
        <v>0</v>
      </c>
      <c r="AN76" s="329" t="s">
        <v>1599</v>
      </c>
      <c r="AO76" s="122">
        <v>0</v>
      </c>
      <c r="AQ76" s="329" t="s">
        <v>1599</v>
      </c>
      <c r="AR76" s="122">
        <v>0</v>
      </c>
      <c r="AT76" s="118" t="s">
        <v>1599</v>
      </c>
      <c r="AU76" s="122">
        <v>0</v>
      </c>
      <c r="AW76" s="118" t="s">
        <v>1599</v>
      </c>
      <c r="AX76" s="122">
        <v>0</v>
      </c>
      <c r="AZ76" s="118" t="s">
        <v>1599</v>
      </c>
      <c r="BA76" s="122">
        <v>0</v>
      </c>
      <c r="BC76" s="118" t="s">
        <v>1599</v>
      </c>
      <c r="BD76" s="122">
        <v>0</v>
      </c>
      <c r="BF76" s="118" t="s">
        <v>1599</v>
      </c>
      <c r="BG76" s="122">
        <v>0</v>
      </c>
      <c r="BI76" s="118" t="s">
        <v>1599</v>
      </c>
      <c r="BJ76" s="122">
        <v>0</v>
      </c>
    </row>
    <row r="77" spans="1:62" x14ac:dyDescent="0.25">
      <c r="A77" s="162" t="str">
        <f t="shared" ca="1" si="0"/>
        <v/>
      </c>
      <c r="B77" s="162">
        <f t="shared" ca="1" si="1"/>
        <v>0</v>
      </c>
      <c r="C77" s="124"/>
      <c r="D77" s="138" t="s">
        <v>1599</v>
      </c>
      <c r="E77" s="139">
        <v>0</v>
      </c>
      <c r="F77" s="124"/>
      <c r="G77" s="122" t="s">
        <v>1599</v>
      </c>
      <c r="H77" s="122">
        <f t="shared" si="2"/>
        <v>0</v>
      </c>
      <c r="I77" s="124"/>
      <c r="J77" s="122" t="s">
        <v>1599</v>
      </c>
      <c r="K77" s="122">
        <v>0</v>
      </c>
      <c r="L77" s="124"/>
      <c r="M77" s="122" t="s">
        <v>1599</v>
      </c>
      <c r="N77" s="122">
        <v>0</v>
      </c>
      <c r="O77" s="124"/>
      <c r="P77" s="122" t="s">
        <v>1599</v>
      </c>
      <c r="Q77" s="122">
        <v>0</v>
      </c>
      <c r="R77" s="124"/>
      <c r="S77" s="122" t="s">
        <v>1599</v>
      </c>
      <c r="T77" s="122">
        <v>0</v>
      </c>
      <c r="U77" s="124"/>
      <c r="V77" s="122" t="s">
        <v>1599</v>
      </c>
      <c r="W77" s="122">
        <v>0</v>
      </c>
      <c r="X77" s="124"/>
      <c r="Y77" s="122" t="s">
        <v>1599</v>
      </c>
      <c r="Z77" s="122">
        <v>0</v>
      </c>
      <c r="AA77" s="124"/>
      <c r="AB77" s="122" t="s">
        <v>1599</v>
      </c>
      <c r="AC77" s="122">
        <v>0</v>
      </c>
      <c r="AD77" s="124"/>
      <c r="AE77" s="122" t="s">
        <v>1599</v>
      </c>
      <c r="AF77" s="122">
        <v>0</v>
      </c>
      <c r="AH77" s="118" t="s">
        <v>1599</v>
      </c>
      <c r="AI77" s="122">
        <v>0</v>
      </c>
      <c r="AK77" s="118" t="s">
        <v>1599</v>
      </c>
      <c r="AL77" s="122">
        <v>0</v>
      </c>
      <c r="AN77" s="329" t="s">
        <v>1599</v>
      </c>
      <c r="AO77" s="122">
        <v>0</v>
      </c>
      <c r="AQ77" s="329" t="s">
        <v>1599</v>
      </c>
      <c r="AR77" s="122">
        <v>0</v>
      </c>
      <c r="AT77" s="118" t="s">
        <v>1599</v>
      </c>
      <c r="AU77" s="122">
        <v>0</v>
      </c>
      <c r="AW77" s="118" t="s">
        <v>1599</v>
      </c>
      <c r="AX77" s="122">
        <v>0</v>
      </c>
      <c r="AZ77" s="118" t="s">
        <v>1599</v>
      </c>
      <c r="BA77" s="122">
        <v>0</v>
      </c>
      <c r="BC77" s="118" t="s">
        <v>1599</v>
      </c>
      <c r="BD77" s="122">
        <v>0</v>
      </c>
      <c r="BF77" s="118" t="s">
        <v>1599</v>
      </c>
      <c r="BG77" s="122">
        <v>0</v>
      </c>
      <c r="BI77" s="118" t="s">
        <v>1599</v>
      </c>
      <c r="BJ77" s="122">
        <v>0</v>
      </c>
    </row>
    <row r="78" spans="1:62" x14ac:dyDescent="0.25">
      <c r="A78" s="162" t="str">
        <f t="shared" ca="1" si="0"/>
        <v/>
      </c>
      <c r="B78" s="162">
        <f t="shared" ca="1" si="1"/>
        <v>0</v>
      </c>
      <c r="C78" s="124"/>
      <c r="D78" s="138" t="s">
        <v>1599</v>
      </c>
      <c r="E78" s="139">
        <v>0</v>
      </c>
      <c r="F78" s="124"/>
      <c r="G78" s="122" t="s">
        <v>1599</v>
      </c>
      <c r="H78" s="122">
        <f t="shared" si="2"/>
        <v>0</v>
      </c>
      <c r="I78" s="124"/>
      <c r="J78" s="122" t="s">
        <v>1599</v>
      </c>
      <c r="K78" s="122">
        <v>0</v>
      </c>
      <c r="L78" s="124"/>
      <c r="M78" s="122" t="s">
        <v>1599</v>
      </c>
      <c r="N78" s="122">
        <v>0</v>
      </c>
      <c r="O78" s="124"/>
      <c r="P78" s="122" t="s">
        <v>1599</v>
      </c>
      <c r="Q78" s="122">
        <v>0</v>
      </c>
      <c r="R78" s="124"/>
      <c r="S78" s="122" t="s">
        <v>1599</v>
      </c>
      <c r="T78" s="122">
        <v>0</v>
      </c>
      <c r="U78" s="124"/>
      <c r="V78" s="122" t="s">
        <v>1599</v>
      </c>
      <c r="W78" s="122">
        <v>0</v>
      </c>
      <c r="X78" s="124"/>
      <c r="Y78" s="122" t="s">
        <v>1599</v>
      </c>
      <c r="Z78" s="122">
        <v>0</v>
      </c>
      <c r="AA78" s="124"/>
      <c r="AB78" s="122" t="s">
        <v>1599</v>
      </c>
      <c r="AC78" s="122">
        <v>0</v>
      </c>
      <c r="AD78" s="124"/>
      <c r="AE78" s="122" t="s">
        <v>1599</v>
      </c>
      <c r="AF78" s="122">
        <v>0</v>
      </c>
      <c r="AH78" s="118" t="s">
        <v>1599</v>
      </c>
      <c r="AI78" s="122">
        <v>0</v>
      </c>
      <c r="AK78" s="118" t="s">
        <v>1599</v>
      </c>
      <c r="AL78" s="122">
        <v>0</v>
      </c>
      <c r="AN78" s="329" t="s">
        <v>1599</v>
      </c>
      <c r="AO78" s="122">
        <v>0</v>
      </c>
      <c r="AQ78" s="329" t="s">
        <v>1599</v>
      </c>
      <c r="AR78" s="122">
        <v>0</v>
      </c>
      <c r="AT78" s="118" t="s">
        <v>1599</v>
      </c>
      <c r="AU78" s="122">
        <v>0</v>
      </c>
      <c r="AW78" s="118" t="s">
        <v>1599</v>
      </c>
      <c r="AX78" s="122">
        <v>0</v>
      </c>
      <c r="AZ78" s="118" t="s">
        <v>1599</v>
      </c>
      <c r="BA78" s="122">
        <v>0</v>
      </c>
      <c r="BC78" s="118" t="s">
        <v>1599</v>
      </c>
      <c r="BD78" s="122">
        <v>0</v>
      </c>
      <c r="BF78" s="118" t="s">
        <v>1599</v>
      </c>
      <c r="BG78" s="122">
        <v>0</v>
      </c>
      <c r="BI78" s="118" t="s">
        <v>1599</v>
      </c>
      <c r="BJ78" s="122">
        <v>0</v>
      </c>
    </row>
    <row r="79" spans="1:62" x14ac:dyDescent="0.25">
      <c r="A79" s="162" t="str">
        <f t="shared" ca="1" si="0"/>
        <v/>
      </c>
      <c r="B79" s="162">
        <f t="shared" ca="1" si="1"/>
        <v>0</v>
      </c>
      <c r="C79" s="124"/>
      <c r="D79" s="138" t="s">
        <v>1599</v>
      </c>
      <c r="E79" s="139">
        <v>0</v>
      </c>
      <c r="F79" s="124"/>
      <c r="G79" s="122" t="s">
        <v>1599</v>
      </c>
      <c r="H79" s="122">
        <f t="shared" si="2"/>
        <v>0</v>
      </c>
      <c r="I79" s="124"/>
      <c r="J79" s="122" t="s">
        <v>1599</v>
      </c>
      <c r="K79" s="122">
        <v>0</v>
      </c>
      <c r="L79" s="124"/>
      <c r="M79" s="122" t="s">
        <v>1599</v>
      </c>
      <c r="N79" s="122">
        <v>0</v>
      </c>
      <c r="O79" s="124"/>
      <c r="P79" s="122" t="s">
        <v>1599</v>
      </c>
      <c r="Q79" s="122">
        <v>0</v>
      </c>
      <c r="R79" s="124"/>
      <c r="S79" s="122" t="s">
        <v>1599</v>
      </c>
      <c r="T79" s="122">
        <v>0</v>
      </c>
      <c r="U79" s="124"/>
      <c r="V79" s="122" t="s">
        <v>1599</v>
      </c>
      <c r="W79" s="122">
        <v>0</v>
      </c>
      <c r="X79" s="124"/>
      <c r="Y79" s="122" t="s">
        <v>1599</v>
      </c>
      <c r="Z79" s="122">
        <v>0</v>
      </c>
      <c r="AA79" s="124"/>
      <c r="AB79" s="122" t="s">
        <v>1599</v>
      </c>
      <c r="AC79" s="122">
        <v>0</v>
      </c>
      <c r="AD79" s="124"/>
      <c r="AE79" s="122" t="s">
        <v>1599</v>
      </c>
      <c r="AF79" s="122">
        <v>0</v>
      </c>
      <c r="AH79" s="118" t="s">
        <v>1599</v>
      </c>
      <c r="AI79" s="122">
        <v>0</v>
      </c>
      <c r="AK79" s="118" t="s">
        <v>1599</v>
      </c>
      <c r="AL79" s="122">
        <v>0</v>
      </c>
      <c r="AN79" s="329" t="s">
        <v>1599</v>
      </c>
      <c r="AO79" s="122">
        <v>0</v>
      </c>
      <c r="AQ79" s="329" t="s">
        <v>1599</v>
      </c>
      <c r="AR79" s="122">
        <v>0</v>
      </c>
      <c r="AT79" s="118" t="s">
        <v>1599</v>
      </c>
      <c r="AU79" s="122">
        <v>0</v>
      </c>
      <c r="AW79" s="118" t="s">
        <v>1599</v>
      </c>
      <c r="AX79" s="122">
        <v>0</v>
      </c>
      <c r="AZ79" s="118" t="s">
        <v>1599</v>
      </c>
      <c r="BA79" s="122">
        <v>0</v>
      </c>
      <c r="BC79" s="118" t="s">
        <v>1599</v>
      </c>
      <c r="BD79" s="122">
        <v>0</v>
      </c>
      <c r="BF79" s="118" t="s">
        <v>1599</v>
      </c>
      <c r="BG79" s="122">
        <v>0</v>
      </c>
      <c r="BI79" s="118" t="s">
        <v>1599</v>
      </c>
      <c r="BJ79" s="122">
        <v>0</v>
      </c>
    </row>
    <row r="80" spans="1:62" x14ac:dyDescent="0.25">
      <c r="A80" s="162" t="str">
        <f t="shared" ca="1" si="0"/>
        <v/>
      </c>
      <c r="B80" s="162">
        <f t="shared" ca="1" si="1"/>
        <v>0</v>
      </c>
      <c r="C80" s="124"/>
      <c r="D80" s="138" t="s">
        <v>1599</v>
      </c>
      <c r="E80" s="139">
        <v>0</v>
      </c>
      <c r="F80" s="124"/>
      <c r="G80" s="122" t="s">
        <v>1599</v>
      </c>
      <c r="H80" s="122">
        <f t="shared" si="2"/>
        <v>0</v>
      </c>
      <c r="I80" s="124"/>
      <c r="J80" s="122" t="s">
        <v>1599</v>
      </c>
      <c r="K80" s="122">
        <v>0</v>
      </c>
      <c r="L80" s="124"/>
      <c r="M80" s="122" t="s">
        <v>1599</v>
      </c>
      <c r="N80" s="122">
        <v>0</v>
      </c>
      <c r="O80" s="124"/>
      <c r="P80" s="122" t="s">
        <v>1599</v>
      </c>
      <c r="Q80" s="122">
        <v>0</v>
      </c>
      <c r="R80" s="124"/>
      <c r="S80" s="122" t="s">
        <v>1599</v>
      </c>
      <c r="T80" s="122">
        <v>0</v>
      </c>
      <c r="U80" s="124"/>
      <c r="V80" s="122" t="s">
        <v>1599</v>
      </c>
      <c r="W80" s="122">
        <v>0</v>
      </c>
      <c r="X80" s="124"/>
      <c r="Y80" s="122" t="s">
        <v>1599</v>
      </c>
      <c r="Z80" s="122">
        <v>0</v>
      </c>
      <c r="AA80" s="124"/>
      <c r="AB80" s="122" t="s">
        <v>1599</v>
      </c>
      <c r="AC80" s="122">
        <v>0</v>
      </c>
      <c r="AD80" s="124"/>
      <c r="AE80" s="122" t="s">
        <v>1599</v>
      </c>
      <c r="AF80" s="122">
        <v>0</v>
      </c>
      <c r="AH80" s="118" t="s">
        <v>1599</v>
      </c>
      <c r="AI80" s="122">
        <v>0</v>
      </c>
      <c r="AK80" s="118" t="s">
        <v>1599</v>
      </c>
      <c r="AL80" s="122">
        <v>0</v>
      </c>
      <c r="AN80" s="329" t="s">
        <v>1599</v>
      </c>
      <c r="AO80" s="122">
        <v>0</v>
      </c>
      <c r="AQ80" s="329" t="s">
        <v>1599</v>
      </c>
      <c r="AR80" s="122">
        <v>0</v>
      </c>
      <c r="AT80" s="118" t="s">
        <v>1599</v>
      </c>
      <c r="AU80" s="122">
        <v>0</v>
      </c>
      <c r="AW80" s="118" t="s">
        <v>1599</v>
      </c>
      <c r="AX80" s="122">
        <v>0</v>
      </c>
      <c r="AZ80" s="118" t="s">
        <v>1599</v>
      </c>
      <c r="BA80" s="122">
        <v>0</v>
      </c>
      <c r="BC80" s="118" t="s">
        <v>1599</v>
      </c>
      <c r="BD80" s="122">
        <v>0</v>
      </c>
      <c r="BF80" s="118" t="s">
        <v>1599</v>
      </c>
      <c r="BG80" s="122">
        <v>0</v>
      </c>
      <c r="BI80" s="118" t="s">
        <v>1599</v>
      </c>
      <c r="BJ80" s="122">
        <v>0</v>
      </c>
    </row>
    <row r="81" spans="1:62" x14ac:dyDescent="0.25">
      <c r="A81" s="162" t="str">
        <f t="shared" ca="1" si="0"/>
        <v/>
      </c>
      <c r="B81" s="162">
        <f t="shared" ca="1" si="1"/>
        <v>0</v>
      </c>
      <c r="C81" s="124"/>
      <c r="D81" s="138" t="s">
        <v>1599</v>
      </c>
      <c r="E81" s="139">
        <v>0</v>
      </c>
      <c r="F81" s="124"/>
      <c r="G81" s="122" t="s">
        <v>1599</v>
      </c>
      <c r="H81" s="122">
        <f t="shared" si="2"/>
        <v>0</v>
      </c>
      <c r="I81" s="124"/>
      <c r="J81" s="122" t="s">
        <v>1599</v>
      </c>
      <c r="K81" s="122">
        <v>0</v>
      </c>
      <c r="L81" s="124"/>
      <c r="M81" s="122" t="s">
        <v>1599</v>
      </c>
      <c r="N81" s="122">
        <v>0</v>
      </c>
      <c r="O81" s="124"/>
      <c r="P81" s="122" t="s">
        <v>1599</v>
      </c>
      <c r="Q81" s="122">
        <v>0</v>
      </c>
      <c r="R81" s="124"/>
      <c r="S81" s="122" t="s">
        <v>1599</v>
      </c>
      <c r="T81" s="122">
        <v>0</v>
      </c>
      <c r="U81" s="124"/>
      <c r="V81" s="122" t="s">
        <v>1599</v>
      </c>
      <c r="W81" s="122">
        <v>0</v>
      </c>
      <c r="X81" s="124"/>
      <c r="Y81" s="122" t="s">
        <v>1599</v>
      </c>
      <c r="Z81" s="122">
        <v>0</v>
      </c>
      <c r="AA81" s="124"/>
      <c r="AB81" s="122" t="s">
        <v>1599</v>
      </c>
      <c r="AC81" s="122">
        <v>0</v>
      </c>
      <c r="AD81" s="124"/>
      <c r="AE81" s="122" t="s">
        <v>1599</v>
      </c>
      <c r="AF81" s="122">
        <v>0</v>
      </c>
      <c r="AH81" s="118" t="s">
        <v>1599</v>
      </c>
      <c r="AI81" s="122">
        <v>0</v>
      </c>
      <c r="AK81" s="118" t="s">
        <v>1599</v>
      </c>
      <c r="AL81" s="122">
        <v>0</v>
      </c>
      <c r="AN81" s="329" t="s">
        <v>1599</v>
      </c>
      <c r="AO81" s="122">
        <v>0</v>
      </c>
      <c r="AQ81" s="329" t="s">
        <v>1599</v>
      </c>
      <c r="AR81" s="122">
        <v>0</v>
      </c>
      <c r="AT81" s="118" t="s">
        <v>1599</v>
      </c>
      <c r="AU81" s="122">
        <v>0</v>
      </c>
      <c r="AW81" s="118" t="s">
        <v>1599</v>
      </c>
      <c r="AX81" s="122">
        <v>0</v>
      </c>
      <c r="AZ81" s="118" t="s">
        <v>1599</v>
      </c>
      <c r="BA81" s="122">
        <v>0</v>
      </c>
      <c r="BC81" s="118" t="s">
        <v>1599</v>
      </c>
      <c r="BD81" s="122">
        <v>0</v>
      </c>
      <c r="BF81" s="118" t="s">
        <v>1599</v>
      </c>
      <c r="BG81" s="122">
        <v>0</v>
      </c>
      <c r="BI81" s="118" t="s">
        <v>1599</v>
      </c>
      <c r="BJ81" s="122">
        <v>0</v>
      </c>
    </row>
    <row r="82" spans="1:62" x14ac:dyDescent="0.25">
      <c r="A82" s="162" t="str">
        <f t="shared" ca="1" si="0"/>
        <v/>
      </c>
      <c r="B82" s="162">
        <f t="shared" ca="1" si="1"/>
        <v>0</v>
      </c>
      <c r="C82" s="124"/>
      <c r="D82" s="138" t="s">
        <v>1599</v>
      </c>
      <c r="E82" s="139">
        <v>0</v>
      </c>
      <c r="F82" s="124"/>
      <c r="G82" s="122" t="s">
        <v>1599</v>
      </c>
      <c r="H82" s="122">
        <f t="shared" si="2"/>
        <v>0</v>
      </c>
      <c r="I82" s="124"/>
      <c r="J82" s="122" t="s">
        <v>1599</v>
      </c>
      <c r="K82" s="122">
        <v>0</v>
      </c>
      <c r="L82" s="124"/>
      <c r="M82" s="122" t="s">
        <v>1599</v>
      </c>
      <c r="N82" s="122">
        <v>0</v>
      </c>
      <c r="O82" s="124"/>
      <c r="P82" s="122" t="s">
        <v>1599</v>
      </c>
      <c r="Q82" s="122">
        <v>0</v>
      </c>
      <c r="R82" s="124"/>
      <c r="S82" s="122" t="s">
        <v>1599</v>
      </c>
      <c r="T82" s="122">
        <v>0</v>
      </c>
      <c r="U82" s="124"/>
      <c r="V82" s="122" t="s">
        <v>1599</v>
      </c>
      <c r="W82" s="122">
        <v>0</v>
      </c>
      <c r="X82" s="124"/>
      <c r="Y82" s="122" t="s">
        <v>1599</v>
      </c>
      <c r="Z82" s="122">
        <v>0</v>
      </c>
      <c r="AA82" s="124"/>
      <c r="AB82" s="122" t="s">
        <v>1599</v>
      </c>
      <c r="AC82" s="122">
        <v>0</v>
      </c>
      <c r="AD82" s="124"/>
      <c r="AE82" s="122" t="s">
        <v>1599</v>
      </c>
      <c r="AF82" s="122">
        <v>0</v>
      </c>
      <c r="AH82" s="118" t="s">
        <v>1599</v>
      </c>
      <c r="AI82" s="122">
        <v>0</v>
      </c>
      <c r="AK82" s="118" t="s">
        <v>1599</v>
      </c>
      <c r="AL82" s="122">
        <v>0</v>
      </c>
      <c r="AN82" s="329" t="s">
        <v>1599</v>
      </c>
      <c r="AO82" s="122">
        <v>0</v>
      </c>
      <c r="AQ82" s="329" t="s">
        <v>1599</v>
      </c>
      <c r="AR82" s="122">
        <v>0</v>
      </c>
      <c r="AT82" s="118" t="s">
        <v>1599</v>
      </c>
      <c r="AU82" s="122">
        <v>0</v>
      </c>
      <c r="AW82" s="118" t="s">
        <v>1599</v>
      </c>
      <c r="AX82" s="122">
        <v>0</v>
      </c>
      <c r="AZ82" s="118" t="s">
        <v>1599</v>
      </c>
      <c r="BA82" s="122">
        <v>0</v>
      </c>
      <c r="BC82" s="118" t="s">
        <v>1599</v>
      </c>
      <c r="BD82" s="122">
        <v>0</v>
      </c>
      <c r="BF82" s="118" t="s">
        <v>1599</v>
      </c>
      <c r="BG82" s="122">
        <v>0</v>
      </c>
      <c r="BI82" s="118" t="s">
        <v>1599</v>
      </c>
      <c r="BJ82" s="122">
        <v>0</v>
      </c>
    </row>
    <row r="83" spans="1:62" x14ac:dyDescent="0.25">
      <c r="A83" s="162" t="str">
        <f t="shared" ca="1" si="0"/>
        <v/>
      </c>
      <c r="B83" s="162">
        <f t="shared" ca="1" si="1"/>
        <v>0</v>
      </c>
      <c r="C83" s="124"/>
      <c r="D83" s="138" t="s">
        <v>1599</v>
      </c>
      <c r="E83" s="139">
        <v>0</v>
      </c>
      <c r="F83" s="124"/>
      <c r="G83" s="122" t="s">
        <v>1599</v>
      </c>
      <c r="H83" s="122">
        <f t="shared" si="2"/>
        <v>0</v>
      </c>
      <c r="I83" s="124"/>
      <c r="J83" s="122" t="s">
        <v>1599</v>
      </c>
      <c r="K83" s="122">
        <v>0</v>
      </c>
      <c r="L83" s="124"/>
      <c r="M83" s="122" t="s">
        <v>1599</v>
      </c>
      <c r="N83" s="122">
        <v>0</v>
      </c>
      <c r="O83" s="124"/>
      <c r="P83" s="122" t="s">
        <v>1599</v>
      </c>
      <c r="Q83" s="122">
        <v>0</v>
      </c>
      <c r="R83" s="124"/>
      <c r="S83" s="122" t="s">
        <v>1599</v>
      </c>
      <c r="T83" s="122">
        <v>0</v>
      </c>
      <c r="U83" s="124"/>
      <c r="V83" s="122" t="s">
        <v>1599</v>
      </c>
      <c r="W83" s="122">
        <v>0</v>
      </c>
      <c r="X83" s="124"/>
      <c r="Y83" s="122" t="s">
        <v>1599</v>
      </c>
      <c r="Z83" s="122">
        <v>0</v>
      </c>
      <c r="AA83" s="124"/>
      <c r="AB83" s="122" t="s">
        <v>1599</v>
      </c>
      <c r="AC83" s="122">
        <v>0</v>
      </c>
      <c r="AD83" s="124"/>
      <c r="AE83" s="122" t="s">
        <v>1599</v>
      </c>
      <c r="AF83" s="122">
        <v>0</v>
      </c>
      <c r="AH83" s="118" t="s">
        <v>1599</v>
      </c>
      <c r="AI83" s="122">
        <v>0</v>
      </c>
      <c r="AK83" s="118" t="s">
        <v>1599</v>
      </c>
      <c r="AL83" s="122">
        <v>0</v>
      </c>
      <c r="AN83" s="329" t="s">
        <v>1599</v>
      </c>
      <c r="AO83" s="122">
        <v>0</v>
      </c>
      <c r="AQ83" s="329" t="s">
        <v>1599</v>
      </c>
      <c r="AR83" s="122">
        <v>0</v>
      </c>
      <c r="AT83" s="118" t="s">
        <v>1599</v>
      </c>
      <c r="AU83" s="122">
        <v>0</v>
      </c>
      <c r="AW83" s="118" t="s">
        <v>1599</v>
      </c>
      <c r="AX83" s="122">
        <v>0</v>
      </c>
      <c r="AZ83" s="118" t="s">
        <v>1599</v>
      </c>
      <c r="BA83" s="122">
        <v>0</v>
      </c>
      <c r="BC83" s="118" t="s">
        <v>1599</v>
      </c>
      <c r="BD83" s="122">
        <v>0</v>
      </c>
      <c r="BF83" s="118" t="s">
        <v>1599</v>
      </c>
      <c r="BG83" s="122">
        <v>0</v>
      </c>
      <c r="BI83" s="118" t="s">
        <v>1599</v>
      </c>
      <c r="BJ83" s="122">
        <v>0</v>
      </c>
    </row>
    <row r="84" spans="1:62" x14ac:dyDescent="0.25">
      <c r="A84" s="162" t="str">
        <f t="shared" ca="1" si="0"/>
        <v/>
      </c>
      <c r="B84" s="162">
        <f t="shared" ca="1" si="1"/>
        <v>0</v>
      </c>
      <c r="C84" s="124"/>
      <c r="D84" s="138" t="s">
        <v>1599</v>
      </c>
      <c r="E84" s="139">
        <v>0</v>
      </c>
      <c r="F84" s="124"/>
      <c r="G84" s="122" t="s">
        <v>1599</v>
      </c>
      <c r="H84" s="122">
        <f t="shared" si="2"/>
        <v>0</v>
      </c>
      <c r="I84" s="124"/>
      <c r="J84" s="122" t="s">
        <v>1599</v>
      </c>
      <c r="K84" s="122">
        <v>0</v>
      </c>
      <c r="L84" s="124"/>
      <c r="M84" s="122" t="s">
        <v>1599</v>
      </c>
      <c r="N84" s="122">
        <v>0</v>
      </c>
      <c r="O84" s="124"/>
      <c r="P84" s="122" t="s">
        <v>1599</v>
      </c>
      <c r="Q84" s="122">
        <v>0</v>
      </c>
      <c r="R84" s="124"/>
      <c r="S84" s="122" t="s">
        <v>1599</v>
      </c>
      <c r="T84" s="122">
        <v>0</v>
      </c>
      <c r="U84" s="124"/>
      <c r="V84" s="122" t="s">
        <v>1599</v>
      </c>
      <c r="W84" s="122">
        <v>0</v>
      </c>
      <c r="X84" s="124"/>
      <c r="Y84" s="122" t="s">
        <v>1599</v>
      </c>
      <c r="Z84" s="122">
        <v>0</v>
      </c>
      <c r="AA84" s="124"/>
      <c r="AB84" s="122" t="s">
        <v>1599</v>
      </c>
      <c r="AC84" s="122">
        <v>0</v>
      </c>
      <c r="AD84" s="124"/>
      <c r="AE84" s="122" t="s">
        <v>1599</v>
      </c>
      <c r="AF84" s="122">
        <v>0</v>
      </c>
      <c r="AH84" s="118" t="s">
        <v>1599</v>
      </c>
      <c r="AI84" s="122">
        <v>0</v>
      </c>
      <c r="AK84" s="118" t="s">
        <v>1599</v>
      </c>
      <c r="AL84" s="122">
        <v>0</v>
      </c>
      <c r="AN84" s="329" t="s">
        <v>1599</v>
      </c>
      <c r="AO84" s="122">
        <v>0</v>
      </c>
      <c r="AQ84" s="329" t="s">
        <v>1599</v>
      </c>
      <c r="AR84" s="122">
        <v>0</v>
      </c>
      <c r="AT84" s="118" t="s">
        <v>1599</v>
      </c>
      <c r="AU84" s="122">
        <v>0</v>
      </c>
      <c r="AW84" s="118" t="s">
        <v>1599</v>
      </c>
      <c r="AX84" s="122">
        <v>0</v>
      </c>
      <c r="AZ84" s="118" t="s">
        <v>1599</v>
      </c>
      <c r="BA84" s="122">
        <v>0</v>
      </c>
      <c r="BC84" s="118" t="s">
        <v>1599</v>
      </c>
      <c r="BD84" s="122">
        <v>0</v>
      </c>
      <c r="BF84" s="118" t="s">
        <v>1599</v>
      </c>
      <c r="BG84" s="122">
        <v>0</v>
      </c>
      <c r="BI84" s="118" t="s">
        <v>1599</v>
      </c>
      <c r="BJ84" s="122">
        <v>0</v>
      </c>
    </row>
    <row r="85" spans="1:62" x14ac:dyDescent="0.25">
      <c r="A85" s="162" t="str">
        <f t="shared" ca="1" si="0"/>
        <v/>
      </c>
      <c r="B85" s="162">
        <f t="shared" ca="1" si="1"/>
        <v>0</v>
      </c>
      <c r="C85" s="124"/>
      <c r="D85" s="138" t="s">
        <v>1599</v>
      </c>
      <c r="E85" s="139">
        <v>0</v>
      </c>
      <c r="F85" s="124"/>
      <c r="G85" s="122" t="s">
        <v>1599</v>
      </c>
      <c r="H85" s="122">
        <f t="shared" si="2"/>
        <v>0</v>
      </c>
      <c r="I85" s="124"/>
      <c r="J85" s="122" t="s">
        <v>1599</v>
      </c>
      <c r="K85" s="122">
        <v>0</v>
      </c>
      <c r="L85" s="124"/>
      <c r="M85" s="122" t="s">
        <v>1599</v>
      </c>
      <c r="N85" s="122">
        <v>0</v>
      </c>
      <c r="O85" s="124"/>
      <c r="P85" s="122" t="s">
        <v>1599</v>
      </c>
      <c r="Q85" s="122">
        <v>0</v>
      </c>
      <c r="R85" s="124"/>
      <c r="S85" s="122" t="s">
        <v>1599</v>
      </c>
      <c r="T85" s="122">
        <v>0</v>
      </c>
      <c r="U85" s="124"/>
      <c r="V85" s="122" t="s">
        <v>1599</v>
      </c>
      <c r="W85" s="122">
        <v>0</v>
      </c>
      <c r="X85" s="124"/>
      <c r="Y85" s="122" t="s">
        <v>1599</v>
      </c>
      <c r="Z85" s="122">
        <v>0</v>
      </c>
      <c r="AA85" s="124"/>
      <c r="AB85" s="122" t="s">
        <v>1599</v>
      </c>
      <c r="AC85" s="122">
        <v>0</v>
      </c>
      <c r="AD85" s="124"/>
      <c r="AE85" s="122" t="s">
        <v>1599</v>
      </c>
      <c r="AF85" s="122">
        <v>0</v>
      </c>
      <c r="AH85" s="118" t="s">
        <v>1599</v>
      </c>
      <c r="AI85" s="122">
        <v>0</v>
      </c>
      <c r="AK85" s="118" t="s">
        <v>1599</v>
      </c>
      <c r="AL85" s="122">
        <v>0</v>
      </c>
      <c r="AN85" s="329" t="s">
        <v>1599</v>
      </c>
      <c r="AO85" s="122">
        <v>0</v>
      </c>
      <c r="AQ85" s="329" t="s">
        <v>1599</v>
      </c>
      <c r="AR85" s="122">
        <v>0</v>
      </c>
      <c r="AT85" s="118" t="s">
        <v>1599</v>
      </c>
      <c r="AU85" s="122">
        <v>0</v>
      </c>
      <c r="AW85" s="118" t="s">
        <v>1599</v>
      </c>
      <c r="AX85" s="122">
        <v>0</v>
      </c>
      <c r="AZ85" s="118" t="s">
        <v>1599</v>
      </c>
      <c r="BA85" s="122">
        <v>0</v>
      </c>
      <c r="BC85" s="118" t="s">
        <v>1599</v>
      </c>
      <c r="BD85" s="122">
        <v>0</v>
      </c>
      <c r="BF85" s="118" t="s">
        <v>1599</v>
      </c>
      <c r="BG85" s="122">
        <v>0</v>
      </c>
      <c r="BI85" s="118" t="s">
        <v>1599</v>
      </c>
      <c r="BJ85" s="122">
        <v>0</v>
      </c>
    </row>
    <row r="86" spans="1:62" x14ac:dyDescent="0.25">
      <c r="A86" s="162" t="str">
        <f t="shared" ca="1" si="0"/>
        <v/>
      </c>
      <c r="B86" s="162">
        <f t="shared" ca="1" si="1"/>
        <v>0</v>
      </c>
      <c r="C86" s="124"/>
      <c r="D86" s="138" t="s">
        <v>1599</v>
      </c>
      <c r="E86" s="139">
        <v>0</v>
      </c>
      <c r="F86" s="124"/>
      <c r="G86" s="122" t="s">
        <v>1599</v>
      </c>
      <c r="H86" s="122">
        <f t="shared" si="2"/>
        <v>0</v>
      </c>
      <c r="I86" s="124"/>
      <c r="J86" s="122" t="s">
        <v>1599</v>
      </c>
      <c r="K86" s="122">
        <v>0</v>
      </c>
      <c r="L86" s="124"/>
      <c r="M86" s="122" t="s">
        <v>1599</v>
      </c>
      <c r="N86" s="122">
        <v>0</v>
      </c>
      <c r="O86" s="124"/>
      <c r="P86" s="122" t="s">
        <v>1599</v>
      </c>
      <c r="Q86" s="122">
        <v>0</v>
      </c>
      <c r="R86" s="124"/>
      <c r="S86" s="122" t="s">
        <v>1599</v>
      </c>
      <c r="T86" s="122">
        <v>0</v>
      </c>
      <c r="U86" s="124"/>
      <c r="V86" s="122" t="s">
        <v>1599</v>
      </c>
      <c r="W86" s="122">
        <v>0</v>
      </c>
      <c r="X86" s="124"/>
      <c r="Y86" s="122" t="s">
        <v>1599</v>
      </c>
      <c r="Z86" s="122">
        <v>0</v>
      </c>
      <c r="AA86" s="124"/>
      <c r="AB86" s="122" t="s">
        <v>1599</v>
      </c>
      <c r="AC86" s="122">
        <v>0</v>
      </c>
      <c r="AD86" s="124"/>
      <c r="AE86" s="122" t="s">
        <v>1599</v>
      </c>
      <c r="AF86" s="122">
        <v>0</v>
      </c>
      <c r="AH86" s="118" t="s">
        <v>1599</v>
      </c>
      <c r="AI86" s="122">
        <v>0</v>
      </c>
      <c r="AK86" s="118" t="s">
        <v>1599</v>
      </c>
      <c r="AL86" s="122">
        <v>0</v>
      </c>
      <c r="AN86" s="329" t="s">
        <v>1599</v>
      </c>
      <c r="AO86" s="122">
        <v>0</v>
      </c>
      <c r="AQ86" s="329" t="s">
        <v>1599</v>
      </c>
      <c r="AR86" s="122">
        <v>0</v>
      </c>
      <c r="AT86" s="118" t="s">
        <v>1599</v>
      </c>
      <c r="AU86" s="122">
        <v>0</v>
      </c>
      <c r="AW86" s="118" t="s">
        <v>1599</v>
      </c>
      <c r="AX86" s="122">
        <v>0</v>
      </c>
      <c r="AZ86" s="118" t="s">
        <v>1599</v>
      </c>
      <c r="BA86" s="122">
        <v>0</v>
      </c>
      <c r="BC86" s="118" t="s">
        <v>1599</v>
      </c>
      <c r="BD86" s="122">
        <v>0</v>
      </c>
      <c r="BF86" s="118" t="s">
        <v>1599</v>
      </c>
      <c r="BG86" s="122">
        <v>0</v>
      </c>
      <c r="BI86" s="118" t="s">
        <v>1599</v>
      </c>
      <c r="BJ86" s="122">
        <v>0</v>
      </c>
    </row>
    <row r="87" spans="1:62" x14ac:dyDescent="0.25">
      <c r="A87" s="162" t="str">
        <f t="shared" ca="1" si="0"/>
        <v/>
      </c>
      <c r="B87" s="162">
        <f t="shared" ca="1" si="1"/>
        <v>0</v>
      </c>
      <c r="C87" s="124"/>
      <c r="D87" s="138" t="s">
        <v>1599</v>
      </c>
      <c r="E87" s="139">
        <v>0</v>
      </c>
      <c r="F87" s="124"/>
      <c r="G87" s="122" t="s">
        <v>1599</v>
      </c>
      <c r="H87" s="122">
        <f t="shared" si="2"/>
        <v>0</v>
      </c>
      <c r="I87" s="124"/>
      <c r="J87" s="122" t="s">
        <v>1599</v>
      </c>
      <c r="K87" s="122">
        <v>0</v>
      </c>
      <c r="L87" s="124"/>
      <c r="M87" s="122" t="s">
        <v>1599</v>
      </c>
      <c r="N87" s="122">
        <v>0</v>
      </c>
      <c r="O87" s="124"/>
      <c r="P87" s="122" t="s">
        <v>1599</v>
      </c>
      <c r="Q87" s="122">
        <v>0</v>
      </c>
      <c r="R87" s="124"/>
      <c r="S87" s="122" t="s">
        <v>1599</v>
      </c>
      <c r="T87" s="122">
        <v>0</v>
      </c>
      <c r="U87" s="124"/>
      <c r="V87" s="122" t="s">
        <v>1599</v>
      </c>
      <c r="W87" s="122">
        <v>0</v>
      </c>
      <c r="X87" s="124"/>
      <c r="Y87" s="122" t="s">
        <v>1599</v>
      </c>
      <c r="Z87" s="122">
        <v>0</v>
      </c>
      <c r="AA87" s="124"/>
      <c r="AB87" s="122" t="s">
        <v>1599</v>
      </c>
      <c r="AC87" s="122">
        <v>0</v>
      </c>
      <c r="AD87" s="124"/>
      <c r="AE87" s="122" t="s">
        <v>1599</v>
      </c>
      <c r="AF87" s="122">
        <v>0</v>
      </c>
      <c r="AH87" s="118" t="s">
        <v>1599</v>
      </c>
      <c r="AI87" s="122">
        <v>0</v>
      </c>
      <c r="AK87" s="118" t="s">
        <v>1599</v>
      </c>
      <c r="AL87" s="122">
        <v>0</v>
      </c>
      <c r="AN87" s="329" t="s">
        <v>1599</v>
      </c>
      <c r="AO87" s="122">
        <v>0</v>
      </c>
      <c r="AQ87" s="329" t="s">
        <v>1599</v>
      </c>
      <c r="AR87" s="122">
        <v>0</v>
      </c>
      <c r="AT87" s="118" t="s">
        <v>1599</v>
      </c>
      <c r="AU87" s="122">
        <v>0</v>
      </c>
      <c r="AW87" s="118" t="s">
        <v>1599</v>
      </c>
      <c r="AX87" s="122">
        <v>0</v>
      </c>
      <c r="AZ87" s="118" t="s">
        <v>1599</v>
      </c>
      <c r="BA87" s="122">
        <v>0</v>
      </c>
      <c r="BC87" s="118" t="s">
        <v>1599</v>
      </c>
      <c r="BD87" s="122">
        <v>0</v>
      </c>
      <c r="BF87" s="118" t="s">
        <v>1599</v>
      </c>
      <c r="BG87" s="122">
        <v>0</v>
      </c>
      <c r="BI87" s="118" t="s">
        <v>1599</v>
      </c>
      <c r="BJ87" s="122">
        <v>0</v>
      </c>
    </row>
    <row r="88" spans="1:62" x14ac:dyDescent="0.25">
      <c r="A88" s="162" t="str">
        <f t="shared" ca="1" si="0"/>
        <v/>
      </c>
      <c r="B88" s="162">
        <f t="shared" ca="1" si="1"/>
        <v>0</v>
      </c>
      <c r="C88" s="124"/>
      <c r="D88" s="138" t="s">
        <v>1599</v>
      </c>
      <c r="E88" s="139">
        <v>0</v>
      </c>
      <c r="F88" s="124"/>
      <c r="G88" s="122" t="s">
        <v>1599</v>
      </c>
      <c r="H88" s="122">
        <f t="shared" si="2"/>
        <v>0</v>
      </c>
      <c r="I88" s="124"/>
      <c r="J88" s="122" t="s">
        <v>1599</v>
      </c>
      <c r="K88" s="122">
        <v>0</v>
      </c>
      <c r="L88" s="124"/>
      <c r="M88" s="122" t="s">
        <v>1599</v>
      </c>
      <c r="N88" s="122">
        <v>0</v>
      </c>
      <c r="O88" s="124"/>
      <c r="P88" s="122" t="s">
        <v>1599</v>
      </c>
      <c r="Q88" s="122">
        <v>0</v>
      </c>
      <c r="R88" s="124"/>
      <c r="S88" s="122" t="s">
        <v>1599</v>
      </c>
      <c r="T88" s="122">
        <v>0</v>
      </c>
      <c r="U88" s="124"/>
      <c r="V88" s="122" t="s">
        <v>1599</v>
      </c>
      <c r="W88" s="122">
        <v>0</v>
      </c>
      <c r="X88" s="124"/>
      <c r="Y88" s="122" t="s">
        <v>1599</v>
      </c>
      <c r="Z88" s="122">
        <v>0</v>
      </c>
      <c r="AA88" s="124"/>
      <c r="AB88" s="122" t="s">
        <v>1599</v>
      </c>
      <c r="AC88" s="122">
        <v>0</v>
      </c>
      <c r="AD88" s="124"/>
      <c r="AE88" s="122" t="s">
        <v>1599</v>
      </c>
      <c r="AF88" s="122">
        <v>0</v>
      </c>
      <c r="AH88" s="118" t="s">
        <v>1599</v>
      </c>
      <c r="AI88" s="122">
        <v>0</v>
      </c>
      <c r="AK88" s="118" t="s">
        <v>1599</v>
      </c>
      <c r="AL88" s="122">
        <v>0</v>
      </c>
      <c r="AN88" s="329" t="s">
        <v>1599</v>
      </c>
      <c r="AO88" s="122">
        <v>0</v>
      </c>
      <c r="AQ88" s="329" t="s">
        <v>1599</v>
      </c>
      <c r="AR88" s="122">
        <v>0</v>
      </c>
      <c r="AT88" s="118" t="s">
        <v>1599</v>
      </c>
      <c r="AU88" s="122">
        <v>0</v>
      </c>
      <c r="AW88" s="118" t="s">
        <v>1599</v>
      </c>
      <c r="AX88" s="122">
        <v>0</v>
      </c>
      <c r="AZ88" s="118" t="s">
        <v>1599</v>
      </c>
      <c r="BA88" s="122">
        <v>0</v>
      </c>
      <c r="BC88" s="118" t="s">
        <v>1599</v>
      </c>
      <c r="BD88" s="122">
        <v>0</v>
      </c>
      <c r="BF88" s="118" t="s">
        <v>1599</v>
      </c>
      <c r="BG88" s="122">
        <v>0</v>
      </c>
      <c r="BI88" s="118" t="s">
        <v>1599</v>
      </c>
      <c r="BJ88" s="122">
        <v>0</v>
      </c>
    </row>
    <row r="89" spans="1:62" x14ac:dyDescent="0.25">
      <c r="A89" s="162" t="str">
        <f t="shared" ca="1" si="0"/>
        <v/>
      </c>
      <c r="B89" s="162">
        <f t="shared" ca="1" si="1"/>
        <v>0</v>
      </c>
      <c r="C89" s="124"/>
      <c r="D89" s="138" t="s">
        <v>1599</v>
      </c>
      <c r="E89" s="139">
        <v>0</v>
      </c>
      <c r="F89" s="124"/>
      <c r="G89" s="122" t="s">
        <v>1599</v>
      </c>
      <c r="H89" s="122">
        <f t="shared" si="2"/>
        <v>0</v>
      </c>
      <c r="I89" s="124"/>
      <c r="J89" s="122" t="s">
        <v>1599</v>
      </c>
      <c r="K89" s="122">
        <v>0</v>
      </c>
      <c r="L89" s="124"/>
      <c r="M89" s="122" t="s">
        <v>1599</v>
      </c>
      <c r="N89" s="122">
        <v>0</v>
      </c>
      <c r="O89" s="124"/>
      <c r="P89" s="122" t="s">
        <v>1599</v>
      </c>
      <c r="Q89" s="122">
        <v>0</v>
      </c>
      <c r="R89" s="124"/>
      <c r="S89" s="122" t="s">
        <v>1599</v>
      </c>
      <c r="T89" s="122">
        <v>0</v>
      </c>
      <c r="U89" s="124"/>
      <c r="V89" s="122" t="s">
        <v>1599</v>
      </c>
      <c r="W89" s="122">
        <v>0</v>
      </c>
      <c r="X89" s="124"/>
      <c r="Y89" s="122" t="s">
        <v>1599</v>
      </c>
      <c r="Z89" s="122">
        <v>0</v>
      </c>
      <c r="AA89" s="124"/>
      <c r="AB89" s="122" t="s">
        <v>1599</v>
      </c>
      <c r="AC89" s="122">
        <v>0</v>
      </c>
      <c r="AD89" s="124"/>
      <c r="AE89" s="122" t="s">
        <v>1599</v>
      </c>
      <c r="AF89" s="122">
        <v>0</v>
      </c>
      <c r="AH89" s="118" t="s">
        <v>1599</v>
      </c>
      <c r="AI89" s="122">
        <v>0</v>
      </c>
      <c r="AK89" s="118" t="s">
        <v>1599</v>
      </c>
      <c r="AL89" s="122">
        <v>0</v>
      </c>
      <c r="AN89" s="329" t="s">
        <v>1599</v>
      </c>
      <c r="AO89" s="122">
        <v>0</v>
      </c>
      <c r="AQ89" s="329" t="s">
        <v>1599</v>
      </c>
      <c r="AR89" s="122">
        <v>0</v>
      </c>
      <c r="AT89" s="118" t="s">
        <v>1599</v>
      </c>
      <c r="AU89" s="122">
        <v>0</v>
      </c>
      <c r="AW89" s="118" t="s">
        <v>1599</v>
      </c>
      <c r="AX89" s="122">
        <v>0</v>
      </c>
      <c r="AZ89" s="118" t="s">
        <v>1599</v>
      </c>
      <c r="BA89" s="122">
        <v>0</v>
      </c>
      <c r="BC89" s="118" t="s">
        <v>1599</v>
      </c>
      <c r="BD89" s="122">
        <v>0</v>
      </c>
      <c r="BF89" s="118" t="s">
        <v>1599</v>
      </c>
      <c r="BG89" s="122">
        <v>0</v>
      </c>
      <c r="BI89" s="118" t="s">
        <v>1599</v>
      </c>
      <c r="BJ89" s="122">
        <v>0</v>
      </c>
    </row>
    <row r="90" spans="1:62" x14ac:dyDescent="0.25">
      <c r="A90" s="162" t="str">
        <f t="shared" ca="1" si="0"/>
        <v/>
      </c>
      <c r="B90" s="162">
        <f t="shared" ca="1" si="1"/>
        <v>0</v>
      </c>
      <c r="C90" s="124"/>
      <c r="D90" s="138" t="s">
        <v>1599</v>
      </c>
      <c r="E90" s="139">
        <v>0</v>
      </c>
      <c r="F90" s="124"/>
      <c r="G90" s="122" t="s">
        <v>1599</v>
      </c>
      <c r="H90" s="122">
        <f t="shared" si="2"/>
        <v>0</v>
      </c>
      <c r="I90" s="124"/>
      <c r="J90" s="122" t="s">
        <v>1599</v>
      </c>
      <c r="K90" s="122">
        <v>0</v>
      </c>
      <c r="L90" s="124"/>
      <c r="M90" s="122" t="s">
        <v>1599</v>
      </c>
      <c r="N90" s="122">
        <v>0</v>
      </c>
      <c r="O90" s="124"/>
      <c r="P90" s="122" t="s">
        <v>1599</v>
      </c>
      <c r="Q90" s="122">
        <v>0</v>
      </c>
      <c r="R90" s="124"/>
      <c r="S90" s="122" t="s">
        <v>1599</v>
      </c>
      <c r="T90" s="122">
        <v>0</v>
      </c>
      <c r="U90" s="124"/>
      <c r="V90" s="122" t="s">
        <v>1599</v>
      </c>
      <c r="W90" s="122">
        <v>0</v>
      </c>
      <c r="X90" s="124"/>
      <c r="Y90" s="122" t="s">
        <v>1599</v>
      </c>
      <c r="Z90" s="122">
        <v>0</v>
      </c>
      <c r="AA90" s="124"/>
      <c r="AB90" s="122" t="s">
        <v>1599</v>
      </c>
      <c r="AC90" s="122">
        <v>0</v>
      </c>
      <c r="AD90" s="124"/>
      <c r="AE90" s="122" t="s">
        <v>1599</v>
      </c>
      <c r="AF90" s="122">
        <v>0</v>
      </c>
      <c r="AH90" s="118" t="s">
        <v>1599</v>
      </c>
      <c r="AI90" s="122">
        <v>0</v>
      </c>
      <c r="AK90" s="118" t="s">
        <v>1599</v>
      </c>
      <c r="AL90" s="122">
        <v>0</v>
      </c>
      <c r="AN90" s="329" t="s">
        <v>1599</v>
      </c>
      <c r="AO90" s="122">
        <v>0</v>
      </c>
      <c r="AQ90" s="329" t="s">
        <v>1599</v>
      </c>
      <c r="AR90" s="122">
        <v>0</v>
      </c>
      <c r="AT90" s="118" t="s">
        <v>1599</v>
      </c>
      <c r="AU90" s="122">
        <v>0</v>
      </c>
      <c r="AW90" s="118" t="s">
        <v>1599</v>
      </c>
      <c r="AX90" s="122">
        <v>0</v>
      </c>
      <c r="AZ90" s="118" t="s">
        <v>1599</v>
      </c>
      <c r="BA90" s="122">
        <v>0</v>
      </c>
      <c r="BC90" s="118" t="s">
        <v>1599</v>
      </c>
      <c r="BD90" s="122">
        <v>0</v>
      </c>
      <c r="BF90" s="118" t="s">
        <v>1599</v>
      </c>
      <c r="BG90" s="122">
        <v>0</v>
      </c>
      <c r="BI90" s="118" t="s">
        <v>1599</v>
      </c>
      <c r="BJ90" s="122">
        <v>0</v>
      </c>
    </row>
    <row r="91" spans="1:62" x14ac:dyDescent="0.25">
      <c r="A91" s="162" t="str">
        <f t="shared" ca="1" si="0"/>
        <v/>
      </c>
      <c r="B91" s="162">
        <f t="shared" ca="1" si="1"/>
        <v>0</v>
      </c>
      <c r="C91" s="124"/>
      <c r="D91" s="138" t="s">
        <v>1599</v>
      </c>
      <c r="E91" s="139">
        <v>0</v>
      </c>
      <c r="F91" s="124"/>
      <c r="G91" s="122" t="s">
        <v>1599</v>
      </c>
      <c r="H91" s="122">
        <f t="shared" si="2"/>
        <v>0</v>
      </c>
      <c r="I91" s="124"/>
      <c r="J91" s="122" t="s">
        <v>1599</v>
      </c>
      <c r="K91" s="122">
        <v>0</v>
      </c>
      <c r="L91" s="124"/>
      <c r="M91" s="122" t="s">
        <v>1599</v>
      </c>
      <c r="N91" s="122">
        <v>0</v>
      </c>
      <c r="O91" s="124"/>
      <c r="P91" s="122" t="s">
        <v>1599</v>
      </c>
      <c r="Q91" s="122">
        <v>0</v>
      </c>
      <c r="R91" s="124"/>
      <c r="S91" s="122" t="s">
        <v>1599</v>
      </c>
      <c r="T91" s="122">
        <v>0</v>
      </c>
      <c r="U91" s="124"/>
      <c r="V91" s="122" t="s">
        <v>1599</v>
      </c>
      <c r="W91" s="122">
        <v>0</v>
      </c>
      <c r="X91" s="124"/>
      <c r="Y91" s="122" t="s">
        <v>1599</v>
      </c>
      <c r="Z91" s="122">
        <v>0</v>
      </c>
      <c r="AA91" s="124"/>
      <c r="AB91" s="122" t="s">
        <v>1599</v>
      </c>
      <c r="AC91" s="122">
        <v>0</v>
      </c>
      <c r="AD91" s="124"/>
      <c r="AE91" s="122" t="s">
        <v>1599</v>
      </c>
      <c r="AF91" s="122">
        <v>0</v>
      </c>
      <c r="AH91" s="118" t="s">
        <v>1599</v>
      </c>
      <c r="AI91" s="122">
        <v>0</v>
      </c>
      <c r="AK91" s="118" t="s">
        <v>1599</v>
      </c>
      <c r="AL91" s="122">
        <v>0</v>
      </c>
      <c r="AN91" s="329" t="s">
        <v>1599</v>
      </c>
      <c r="AO91" s="122">
        <v>0</v>
      </c>
      <c r="AQ91" s="329" t="s">
        <v>1599</v>
      </c>
      <c r="AR91" s="122">
        <v>0</v>
      </c>
      <c r="AT91" s="118" t="s">
        <v>1599</v>
      </c>
      <c r="AU91" s="122">
        <v>0</v>
      </c>
      <c r="AW91" s="118" t="s">
        <v>1599</v>
      </c>
      <c r="AX91" s="122">
        <v>0</v>
      </c>
      <c r="AZ91" s="118" t="s">
        <v>1599</v>
      </c>
      <c r="BA91" s="122">
        <v>0</v>
      </c>
      <c r="BC91" s="118" t="s">
        <v>1599</v>
      </c>
      <c r="BD91" s="122">
        <v>0</v>
      </c>
      <c r="BF91" s="118" t="s">
        <v>1599</v>
      </c>
      <c r="BG91" s="122">
        <v>0</v>
      </c>
      <c r="BI91" s="118" t="s">
        <v>1599</v>
      </c>
      <c r="BJ91" s="122">
        <v>0</v>
      </c>
    </row>
  </sheetData>
  <sortState ref="AH31:AI34">
    <sortCondition ref="AH31"/>
  </sortState>
  <hyperlinks>
    <hyperlink ref="Y36" r:id="rId1" display="http://mydictionary.dyndns.org/dictionary/tr_de/de/translation/index.jsp?input=abanoz&amp;trans_direction=12&amp;res_mode=10"/>
  </hyperlinks>
  <pageMargins left="0.7" right="0.7" top="0.78740157499999996" bottom="0.78740157499999996" header="0.3" footer="0.3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S170"/>
  <sheetViews>
    <sheetView topLeftCell="C1" workbookViewId="0">
      <selection activeCell="Q30" sqref="Q29:Q30"/>
    </sheetView>
  </sheetViews>
  <sheetFormatPr defaultColWidth="11.42578125" defaultRowHeight="15" x14ac:dyDescent="0.25"/>
  <cols>
    <col min="2" max="2" width="18.5703125" customWidth="1"/>
    <col min="3" max="3" width="9.85546875" customWidth="1"/>
    <col min="6" max="6" width="25.5703125" customWidth="1"/>
    <col min="7" max="7" width="4.28515625" customWidth="1"/>
    <col min="8" max="8" width="4.5703125" customWidth="1"/>
    <col min="14" max="14" width="22.85546875" customWidth="1"/>
    <col min="15" max="16" width="17.5703125" customWidth="1"/>
    <col min="17" max="17" width="17.85546875" customWidth="1"/>
    <col min="18" max="19" width="11.42578125" customWidth="1"/>
  </cols>
  <sheetData>
    <row r="1" spans="1:17" ht="15.75" thickBot="1" x14ac:dyDescent="0.3">
      <c r="A1" s="52" t="str">
        <f>Sprache!C1</f>
        <v>Kinvaro Produktfinder realisiert von SYS33 EDV Dienstleistung im Auftrag von GRASS GmbH Reinheim</v>
      </c>
    </row>
    <row r="2" spans="1:17" ht="14.25" customHeight="1" x14ac:dyDescent="0.25">
      <c r="O2" s="41"/>
      <c r="P2" s="42" t="str">
        <f ca="1">VLOOKUP(TRUE,P3:Q12,2,FALSE)</f>
        <v>F-20</v>
      </c>
      <c r="Q2" s="43"/>
    </row>
    <row r="3" spans="1:17" ht="18" customHeight="1" x14ac:dyDescent="0.25">
      <c r="O3" s="44" t="s">
        <v>163</v>
      </c>
      <c r="P3" s="334" t="b">
        <v>1</v>
      </c>
      <c r="Q3" s="45" t="str">
        <f ca="1">KINVARO!M43</f>
        <v>F-20</v>
      </c>
    </row>
    <row r="4" spans="1:17" x14ac:dyDescent="0.25">
      <c r="O4" s="44"/>
      <c r="P4" s="334" t="b">
        <v>0</v>
      </c>
      <c r="Q4" s="45" t="str">
        <f ca="1">KINVARO!M47</f>
        <v>L-80</v>
      </c>
    </row>
    <row r="5" spans="1:17" x14ac:dyDescent="0.25">
      <c r="A5" s="9"/>
      <c r="B5" s="49" t="s">
        <v>57</v>
      </c>
      <c r="C5" s="9">
        <v>4</v>
      </c>
      <c r="D5" s="9" t="s">
        <v>58</v>
      </c>
      <c r="E5" s="9"/>
      <c r="F5" s="9" t="s">
        <v>60</v>
      </c>
      <c r="G5" s="9"/>
      <c r="H5" s="9"/>
      <c r="O5" s="44"/>
      <c r="P5" s="334" t="b">
        <v>0</v>
      </c>
      <c r="Q5" s="45" t="str">
        <f ca="1">KINVARO!M51</f>
        <v>S-35</v>
      </c>
    </row>
    <row r="6" spans="1:17" x14ac:dyDescent="0.25">
      <c r="A6" s="9"/>
      <c r="B6" t="str">
        <f ca="1">Material!A31</f>
        <v>ДСП</v>
      </c>
      <c r="C6" s="9">
        <v>1</v>
      </c>
      <c r="D6">
        <f ca="1">Material!B31</f>
        <v>0.65</v>
      </c>
      <c r="E6" s="9"/>
      <c r="F6" s="53">
        <v>0</v>
      </c>
      <c r="G6" s="53">
        <v>100</v>
      </c>
      <c r="H6" s="9"/>
      <c r="O6" s="44"/>
      <c r="P6" s="334" t="b">
        <v>0</v>
      </c>
      <c r="Q6" s="45" t="str">
        <f ca="1">KINVARO!M55</f>
        <v>T-65</v>
      </c>
    </row>
    <row r="7" spans="1:17" x14ac:dyDescent="0.25">
      <c r="A7" s="9"/>
      <c r="B7" s="117" t="str">
        <f ca="1">Material!A32</f>
        <v>Ель/сосна</v>
      </c>
      <c r="C7" s="9">
        <v>2</v>
      </c>
      <c r="D7" s="117">
        <f ca="1">Material!B32</f>
        <v>0.45</v>
      </c>
      <c r="E7" s="9"/>
      <c r="F7" s="53">
        <v>0</v>
      </c>
      <c r="G7" s="53">
        <v>100</v>
      </c>
      <c r="H7" s="9"/>
      <c r="O7" s="44"/>
      <c r="P7" s="334" t="b">
        <v>0</v>
      </c>
      <c r="Q7" s="48" t="str">
        <f ca="1">KINVARO!M59</f>
        <v>T-70</v>
      </c>
    </row>
    <row r="8" spans="1:17" x14ac:dyDescent="0.25">
      <c r="A8" s="9"/>
      <c r="B8" s="117" t="str">
        <f ca="1">Material!A33</f>
        <v>Материал МДФ</v>
      </c>
      <c r="C8" s="9">
        <v>3</v>
      </c>
      <c r="D8" s="117">
        <f ca="1">Material!B33</f>
        <v>0.85</v>
      </c>
      <c r="E8" s="9"/>
      <c r="F8" s="53">
        <v>0</v>
      </c>
      <c r="G8" s="53">
        <v>100</v>
      </c>
      <c r="H8" s="9"/>
      <c r="J8" s="49" t="s">
        <v>66</v>
      </c>
      <c r="K8" s="9" t="s">
        <v>67</v>
      </c>
      <c r="L8" s="9" t="s">
        <v>68</v>
      </c>
      <c r="M8" s="9"/>
      <c r="O8" s="44"/>
      <c r="P8" s="334" t="b">
        <v>0</v>
      </c>
      <c r="Q8" s="45" t="str">
        <f ca="1">KINVARO!AS43</f>
        <v>T-71</v>
      </c>
    </row>
    <row r="9" spans="1:17" x14ac:dyDescent="0.25">
      <c r="A9" s="9"/>
      <c r="B9" s="117" t="str">
        <f ca="1">Material!A34</f>
        <v>Стекло</v>
      </c>
      <c r="C9" s="9">
        <v>4</v>
      </c>
      <c r="D9" s="117">
        <f ca="1">Material!B34</f>
        <v>2.5</v>
      </c>
      <c r="E9" s="9"/>
      <c r="F9" s="53">
        <v>0</v>
      </c>
      <c r="G9" s="53">
        <v>100</v>
      </c>
      <c r="H9" s="9"/>
      <c r="J9" s="9" t="s">
        <v>59</v>
      </c>
      <c r="K9">
        <v>200</v>
      </c>
      <c r="L9">
        <v>1200</v>
      </c>
      <c r="M9" s="9"/>
      <c r="O9" s="44"/>
      <c r="P9" s="334" t="b">
        <v>0</v>
      </c>
      <c r="Q9" s="45" t="str">
        <f ca="1">KINVARO!AS47</f>
        <v>T-75</v>
      </c>
    </row>
    <row r="10" spans="1:17" x14ac:dyDescent="0.25">
      <c r="A10" s="9"/>
      <c r="B10" s="117" t="str">
        <f ca="1">Material!A35</f>
        <v>-----------------</v>
      </c>
      <c r="C10" s="9">
        <v>5</v>
      </c>
      <c r="D10" s="117">
        <f ca="1">Material!B35</f>
        <v>0</v>
      </c>
      <c r="E10" s="9"/>
      <c r="F10" s="53">
        <v>0</v>
      </c>
      <c r="G10" s="53">
        <v>100</v>
      </c>
      <c r="H10" s="9"/>
      <c r="J10" s="9" t="s">
        <v>11</v>
      </c>
      <c r="K10">
        <v>250</v>
      </c>
      <c r="L10">
        <v>910</v>
      </c>
      <c r="M10" s="9"/>
      <c r="O10" s="44"/>
      <c r="P10" s="334" t="b">
        <v>0</v>
      </c>
      <c r="Q10" s="45" t="str">
        <f ca="1">KINVARO!AS51</f>
        <v>T-76</v>
      </c>
    </row>
    <row r="11" spans="1:17" x14ac:dyDescent="0.25">
      <c r="A11" s="9"/>
      <c r="B11" s="117" t="str">
        <f ca="1">Material!A36</f>
        <v>Американская липа</v>
      </c>
      <c r="C11" s="9">
        <v>6</v>
      </c>
      <c r="D11" s="117">
        <f ca="1">Material!B36</f>
        <v>0.6</v>
      </c>
      <c r="E11" s="9"/>
      <c r="F11" s="53">
        <v>0</v>
      </c>
      <c r="G11" s="53">
        <v>100</v>
      </c>
      <c r="H11" s="9"/>
      <c r="I11" s="12"/>
      <c r="J11" s="9" t="s">
        <v>60</v>
      </c>
      <c r="K11" s="75">
        <f>VLOOKUP(C5,C6:G66,4, FALSE)</f>
        <v>0</v>
      </c>
      <c r="L11" s="75">
        <f>VLOOKUP(C5,C6:G66,5, FALSE)</f>
        <v>100</v>
      </c>
      <c r="M11" s="9"/>
      <c r="O11" s="44"/>
      <c r="P11" s="334" t="b">
        <v>0</v>
      </c>
      <c r="Q11" s="45" t="str">
        <f ca="1">KINVARO!AS55</f>
        <v>T-57</v>
      </c>
    </row>
    <row r="12" spans="1:17" ht="15.75" thickBot="1" x14ac:dyDescent="0.3">
      <c r="A12" s="9"/>
      <c r="B12" s="117" t="str">
        <f ca="1">Material!A37</f>
        <v>Африканское красное дерево</v>
      </c>
      <c r="C12" s="9">
        <v>7</v>
      </c>
      <c r="D12" s="117">
        <f ca="1">Material!B37</f>
        <v>0.43</v>
      </c>
      <c r="E12" s="9"/>
      <c r="F12" s="53">
        <v>0</v>
      </c>
      <c r="G12" s="53">
        <v>100</v>
      </c>
      <c r="H12" s="9"/>
      <c r="J12" s="9" t="s">
        <v>62</v>
      </c>
      <c r="K12">
        <v>0.5</v>
      </c>
      <c r="L12">
        <v>20</v>
      </c>
      <c r="M12" s="9"/>
      <c r="O12" s="46"/>
      <c r="P12" s="335" t="b">
        <v>0</v>
      </c>
      <c r="Q12" s="47" t="str">
        <f ca="1">KINVARO!AS59</f>
        <v>T-105</v>
      </c>
    </row>
    <row r="13" spans="1:17" x14ac:dyDescent="0.25">
      <c r="A13" s="9"/>
      <c r="B13" s="117" t="str">
        <f ca="1">Material!A38</f>
        <v>Афромозия</v>
      </c>
      <c r="C13" s="9">
        <v>8</v>
      </c>
      <c r="D13" s="117">
        <f ca="1">Material!B38</f>
        <v>0.71</v>
      </c>
      <c r="E13" s="9"/>
      <c r="F13" s="53">
        <v>0</v>
      </c>
      <c r="G13" s="53">
        <v>100</v>
      </c>
      <c r="H13" s="9"/>
      <c r="J13" s="9" t="s">
        <v>155</v>
      </c>
      <c r="K13" s="12">
        <v>0</v>
      </c>
      <c r="L13" s="12">
        <v>20000</v>
      </c>
      <c r="M13" s="9"/>
    </row>
    <row r="14" spans="1:17" x14ac:dyDescent="0.25">
      <c r="A14" s="9"/>
      <c r="B14" s="117" t="str">
        <f ca="1">Material!A39</f>
        <v>Бакаут</v>
      </c>
      <c r="C14" s="9">
        <v>9</v>
      </c>
      <c r="D14" s="117">
        <f ca="1">Material!B39</f>
        <v>1.33</v>
      </c>
      <c r="E14" s="9"/>
      <c r="F14" s="53">
        <v>0</v>
      </c>
      <c r="G14" s="53">
        <v>100</v>
      </c>
      <c r="H14" s="9"/>
      <c r="J14" s="9" t="s">
        <v>156</v>
      </c>
      <c r="K14" s="12">
        <v>1</v>
      </c>
      <c r="L14" s="40">
        <f>KINVARO!$AW$3</f>
        <v>700</v>
      </c>
      <c r="M14" s="9"/>
    </row>
    <row r="15" spans="1:17" x14ac:dyDescent="0.25">
      <c r="A15" s="9"/>
      <c r="B15" s="117" t="str">
        <f ca="1">Material!A40</f>
        <v>Бальза</v>
      </c>
      <c r="C15" s="9">
        <v>10</v>
      </c>
      <c r="D15" s="117">
        <f ca="1">Material!B40</f>
        <v>0.16</v>
      </c>
      <c r="E15" s="9"/>
      <c r="F15" s="53">
        <v>0</v>
      </c>
      <c r="G15" s="53">
        <v>100</v>
      </c>
      <c r="H15" s="9"/>
      <c r="J15" s="9"/>
      <c r="K15" s="9"/>
      <c r="L15" s="9"/>
      <c r="M15" s="9"/>
    </row>
    <row r="16" spans="1:17" x14ac:dyDescent="0.25">
      <c r="A16" s="9"/>
      <c r="B16" s="117" t="str">
        <f ca="1">Material!A41</f>
        <v>Бамбук</v>
      </c>
      <c r="C16" s="9">
        <v>11</v>
      </c>
      <c r="D16" s="117">
        <f ca="1">Material!B41</f>
        <v>0.4</v>
      </c>
      <c r="E16" s="9"/>
      <c r="F16" s="53">
        <v>0</v>
      </c>
      <c r="G16" s="53">
        <v>100</v>
      </c>
      <c r="H16" s="9"/>
    </row>
    <row r="17" spans="1:19" x14ac:dyDescent="0.25">
      <c r="A17" s="9"/>
      <c r="B17" s="117" t="str">
        <f ca="1">Material!A42</f>
        <v>Белая акация</v>
      </c>
      <c r="C17" s="9">
        <v>12</v>
      </c>
      <c r="D17" s="117">
        <f ca="1">Material!B42</f>
        <v>0.7</v>
      </c>
      <c r="E17" s="9"/>
      <c r="F17" s="53">
        <v>0</v>
      </c>
      <c r="G17" s="53">
        <v>100</v>
      </c>
      <c r="H17" s="9"/>
    </row>
    <row r="18" spans="1:19" x14ac:dyDescent="0.25">
      <c r="A18" s="9"/>
      <c r="B18" s="117" t="str">
        <f ca="1">Material!A43</f>
        <v>Береза</v>
      </c>
      <c r="C18" s="9">
        <v>13</v>
      </c>
      <c r="D18" s="117">
        <f ca="1">Material!B43</f>
        <v>0.67</v>
      </c>
      <c r="E18" s="9"/>
      <c r="F18" s="53">
        <v>0</v>
      </c>
      <c r="G18" s="53">
        <v>100</v>
      </c>
      <c r="H18" s="9"/>
      <c r="P18" s="51">
        <f>IF(A1&lt;&gt;"Kinvaro Produktfinder realisiert von SYS33 EDV Dienstleistung im Auftrag von GRASS GmbH Reinheim",0,1)</f>
        <v>1</v>
      </c>
      <c r="Q18" s="39"/>
      <c r="R18" s="39"/>
      <c r="S18" s="39"/>
    </row>
    <row r="19" spans="1:19" x14ac:dyDescent="0.25">
      <c r="A19" s="9"/>
      <c r="B19" s="117" t="str">
        <f ca="1">Material!A44</f>
        <v>Бук</v>
      </c>
      <c r="C19" s="9">
        <v>14</v>
      </c>
      <c r="D19" s="117">
        <f ca="1">Material!B44</f>
        <v>0.9</v>
      </c>
      <c r="E19" s="9"/>
      <c r="F19" s="53">
        <v>0</v>
      </c>
      <c r="G19" s="53">
        <v>100</v>
      </c>
      <c r="H19" s="9"/>
    </row>
    <row r="20" spans="1:19" ht="15.75" thickBot="1" x14ac:dyDescent="0.3">
      <c r="A20" s="9"/>
      <c r="B20" s="117" t="str">
        <f ca="1">Material!A45</f>
        <v>Вишня</v>
      </c>
      <c r="C20" s="9">
        <v>15</v>
      </c>
      <c r="D20" s="117">
        <f ca="1">Material!B45</f>
        <v>0.63</v>
      </c>
      <c r="E20" s="9"/>
      <c r="F20" s="53">
        <v>0</v>
      </c>
      <c r="G20" s="53">
        <v>100</v>
      </c>
      <c r="H20" s="9"/>
    </row>
    <row r="21" spans="1:19" x14ac:dyDescent="0.25">
      <c r="A21" s="9"/>
      <c r="B21" s="117" t="str">
        <f ca="1">Material!A46</f>
        <v>Вяз</v>
      </c>
      <c r="C21" s="9">
        <v>16</v>
      </c>
      <c r="D21" s="117">
        <f ca="1">Material!B46</f>
        <v>0.82</v>
      </c>
      <c r="E21" s="9"/>
      <c r="F21" s="53">
        <v>0</v>
      </c>
      <c r="G21" s="53">
        <v>100</v>
      </c>
      <c r="H21" s="9"/>
      <c r="O21" s="41" t="s">
        <v>157</v>
      </c>
      <c r="P21" s="42" t="s">
        <v>158</v>
      </c>
      <c r="Q21" s="333" t="b">
        <v>1</v>
      </c>
      <c r="R21" s="43">
        <f>IF(Q21=FALSE,0,1)</f>
        <v>1</v>
      </c>
    </row>
    <row r="22" spans="1:19" x14ac:dyDescent="0.25">
      <c r="A22" s="9"/>
      <c r="B22" s="117" t="str">
        <f ca="1">Material!A47</f>
        <v>Груша</v>
      </c>
      <c r="C22" s="9">
        <v>17</v>
      </c>
      <c r="D22" s="117">
        <f ca="1">Material!B47</f>
        <v>0.7</v>
      </c>
      <c r="E22" s="9"/>
      <c r="F22" s="53">
        <v>0</v>
      </c>
      <c r="G22" s="53">
        <v>100</v>
      </c>
      <c r="H22" s="9"/>
      <c r="O22" s="44"/>
      <c r="P22" s="4" t="s">
        <v>159</v>
      </c>
      <c r="Q22" s="334" t="b">
        <v>0</v>
      </c>
      <c r="R22" s="45">
        <f>IF(Q22=FALSE,0,2)</f>
        <v>0</v>
      </c>
    </row>
    <row r="23" spans="1:19" x14ac:dyDescent="0.25">
      <c r="A23" s="9"/>
      <c r="B23" s="117" t="str">
        <f ca="1">Material!A48</f>
        <v>ДСП</v>
      </c>
      <c r="C23" s="9">
        <v>18</v>
      </c>
      <c r="D23" s="117">
        <f ca="1">Material!B48</f>
        <v>0.65</v>
      </c>
      <c r="E23" s="9"/>
      <c r="F23" s="53">
        <v>0</v>
      </c>
      <c r="G23" s="53">
        <v>100</v>
      </c>
      <c r="H23" s="9"/>
      <c r="O23" s="44"/>
      <c r="P23" s="4" t="s">
        <v>160</v>
      </c>
      <c r="Q23" s="334" t="b">
        <v>0</v>
      </c>
      <c r="R23" s="45">
        <f>IF(Q23=FALSE,0,3)</f>
        <v>0</v>
      </c>
    </row>
    <row r="24" spans="1:19" x14ac:dyDescent="0.25">
      <c r="A24" s="9"/>
      <c r="B24" s="117" t="str">
        <f ca="1">Material!A49</f>
        <v>Дугласия</v>
      </c>
      <c r="C24" s="9">
        <v>19</v>
      </c>
      <c r="D24" s="117">
        <f ca="1">Material!B49</f>
        <v>0.53</v>
      </c>
      <c r="E24" s="9"/>
      <c r="F24" s="53">
        <v>0</v>
      </c>
      <c r="G24" s="53">
        <v>100</v>
      </c>
      <c r="H24" s="9"/>
      <c r="O24" s="44"/>
      <c r="P24" s="4" t="s">
        <v>161</v>
      </c>
      <c r="Q24" s="334" t="b">
        <v>0</v>
      </c>
      <c r="R24" s="45">
        <f>IF(Q24=FALSE,0,4)</f>
        <v>0</v>
      </c>
    </row>
    <row r="25" spans="1:19" ht="15.75" thickBot="1" x14ac:dyDescent="0.3">
      <c r="A25" s="9"/>
      <c r="B25" s="117" t="str">
        <f ca="1">Material!A50</f>
        <v>Ель</v>
      </c>
      <c r="C25" s="9">
        <v>20</v>
      </c>
      <c r="D25" s="117">
        <f ca="1">Material!B50</f>
        <v>0.45</v>
      </c>
      <c r="E25" s="9"/>
      <c r="F25" s="53">
        <v>0</v>
      </c>
      <c r="G25" s="53">
        <v>100</v>
      </c>
      <c r="H25" s="9"/>
      <c r="O25" s="46"/>
      <c r="P25" s="19" t="s">
        <v>162</v>
      </c>
      <c r="Q25" s="335" t="b">
        <v>0</v>
      </c>
      <c r="R25" s="47">
        <f>IF(Q25=FALSE,0,5)</f>
        <v>0</v>
      </c>
    </row>
    <row r="26" spans="1:19" x14ac:dyDescent="0.25">
      <c r="A26" s="9"/>
      <c r="B26" s="117" t="str">
        <f ca="1">Material!A51</f>
        <v>Ива</v>
      </c>
      <c r="C26" s="9">
        <v>21</v>
      </c>
      <c r="D26" s="117">
        <f ca="1">Material!B51</f>
        <v>0.6</v>
      </c>
      <c r="E26" s="9"/>
      <c r="F26" s="53">
        <v>0</v>
      </c>
      <c r="G26" s="53">
        <v>100</v>
      </c>
      <c r="H26" s="9"/>
      <c r="O26" s="4"/>
      <c r="P26" s="4"/>
      <c r="Q26" s="4"/>
      <c r="R26" s="4"/>
    </row>
    <row r="27" spans="1:19" x14ac:dyDescent="0.25">
      <c r="A27" s="9"/>
      <c r="B27" s="117" t="str">
        <f ca="1">Material!A52</f>
        <v>Ироко</v>
      </c>
      <c r="C27" s="9">
        <v>22</v>
      </c>
      <c r="D27" s="117">
        <f ca="1">Material!B52</f>
        <v>0.66</v>
      </c>
      <c r="E27" s="9"/>
      <c r="F27" s="53">
        <v>0</v>
      </c>
      <c r="G27" s="53">
        <v>100</v>
      </c>
      <c r="H27" s="9"/>
      <c r="O27" s="4"/>
      <c r="P27" s="4"/>
      <c r="Q27" s="4"/>
      <c r="R27" s="4"/>
    </row>
    <row r="28" spans="1:19" ht="15.75" thickBot="1" x14ac:dyDescent="0.3">
      <c r="A28" s="9"/>
      <c r="B28" s="117" t="str">
        <f ca="1">Material!A53</f>
        <v>Канадский тополь</v>
      </c>
      <c r="C28" s="9">
        <v>23</v>
      </c>
      <c r="D28" s="117">
        <f ca="1">Material!B53</f>
        <v>0.41</v>
      </c>
      <c r="E28" s="9"/>
      <c r="F28" s="53">
        <v>0</v>
      </c>
      <c r="G28" s="53">
        <v>100</v>
      </c>
      <c r="H28" s="9"/>
      <c r="O28" s="4"/>
      <c r="P28" s="4"/>
      <c r="Q28" s="4"/>
      <c r="R28" s="4"/>
    </row>
    <row r="29" spans="1:19" x14ac:dyDescent="0.25">
      <c r="A29" s="9"/>
      <c r="B29" s="117" t="str">
        <f ca="1">Material!A54</f>
        <v>Кария-пекан</v>
      </c>
      <c r="C29" s="9">
        <v>24</v>
      </c>
      <c r="D29" s="117">
        <f ca="1">Material!B54</f>
        <v>0.77</v>
      </c>
      <c r="E29" s="9"/>
      <c r="F29" s="53">
        <v>0</v>
      </c>
      <c r="G29" s="53">
        <v>100</v>
      </c>
      <c r="H29" s="9"/>
      <c r="O29" s="41" t="s">
        <v>1614</v>
      </c>
      <c r="P29" s="42" t="s">
        <v>1615</v>
      </c>
      <c r="Q29" s="333" t="b">
        <v>0</v>
      </c>
      <c r="R29" s="43">
        <f>IF(Q29=FALSE,0,1)</f>
        <v>0</v>
      </c>
    </row>
    <row r="30" spans="1:19" ht="15.75" thickBot="1" x14ac:dyDescent="0.3">
      <c r="A30" s="9"/>
      <c r="B30" s="117" t="str">
        <f ca="1">Material!A55</f>
        <v>Каштан</v>
      </c>
      <c r="C30" s="9">
        <v>25</v>
      </c>
      <c r="D30" s="117">
        <f ca="1">Material!B55</f>
        <v>0.56000000000000005</v>
      </c>
      <c r="E30" s="9"/>
      <c r="F30" s="53">
        <v>0</v>
      </c>
      <c r="G30" s="53">
        <v>100</v>
      </c>
      <c r="H30" s="9"/>
      <c r="O30" s="46"/>
      <c r="P30" s="19" t="s">
        <v>1616</v>
      </c>
      <c r="Q30" s="335" t="b">
        <v>1</v>
      </c>
      <c r="R30" s="47">
        <f>IF(Q30=FALSE,0,1)</f>
        <v>1</v>
      </c>
    </row>
    <row r="31" spans="1:19" x14ac:dyDescent="0.25">
      <c r="A31" s="9"/>
      <c r="B31" s="117" t="str">
        <f ca="1">Material!A56</f>
        <v>Кедр</v>
      </c>
      <c r="C31" s="9">
        <v>26</v>
      </c>
      <c r="D31" s="117">
        <f ca="1">Material!B56</f>
        <v>0.57999999999999996</v>
      </c>
      <c r="E31" s="9"/>
      <c r="F31" s="53">
        <v>0</v>
      </c>
      <c r="G31" s="53">
        <v>100</v>
      </c>
      <c r="H31" s="9"/>
      <c r="O31" s="4"/>
      <c r="P31" s="4"/>
      <c r="Q31" s="4"/>
      <c r="R31" s="4"/>
    </row>
    <row r="32" spans="1:19" x14ac:dyDescent="0.25">
      <c r="A32" s="9"/>
      <c r="B32" s="117" t="str">
        <f ca="1">Material!A57</f>
        <v>Кипарис</v>
      </c>
      <c r="C32" s="9">
        <v>27</v>
      </c>
      <c r="D32" s="117">
        <f ca="1">Material!B57</f>
        <v>0.51</v>
      </c>
      <c r="E32" s="9"/>
      <c r="F32" s="53">
        <v>0</v>
      </c>
      <c r="G32" s="53">
        <v>100</v>
      </c>
      <c r="H32" s="9"/>
      <c r="O32" s="4"/>
      <c r="P32" s="4"/>
      <c r="Q32" s="4"/>
      <c r="R32" s="4"/>
    </row>
    <row r="33" spans="1:18" x14ac:dyDescent="0.25">
      <c r="A33" s="9"/>
      <c r="B33" s="117" t="str">
        <f ca="1">Material!A58</f>
        <v>Клен</v>
      </c>
      <c r="C33" s="9">
        <v>28</v>
      </c>
      <c r="D33" s="117">
        <f ca="1">Material!B58</f>
        <v>0.75</v>
      </c>
      <c r="E33" s="9"/>
      <c r="F33" s="53">
        <v>0</v>
      </c>
      <c r="G33" s="53">
        <v>100</v>
      </c>
      <c r="H33" s="9"/>
      <c r="O33" s="4"/>
      <c r="P33" s="4"/>
      <c r="Q33" s="4"/>
      <c r="R33" s="4"/>
    </row>
    <row r="34" spans="1:18" x14ac:dyDescent="0.25">
      <c r="A34" s="9"/>
      <c r="B34" s="117" t="str">
        <f ca="1">Material!A59</f>
        <v>Красное дерево</v>
      </c>
      <c r="C34" s="9">
        <v>29</v>
      </c>
      <c r="D34" s="117">
        <f ca="1">Material!B59</f>
        <v>0.85</v>
      </c>
      <c r="E34" s="9"/>
      <c r="F34" s="53">
        <v>0</v>
      </c>
      <c r="G34" s="53">
        <v>100</v>
      </c>
      <c r="H34" s="9"/>
      <c r="O34" s="4"/>
      <c r="P34" s="4"/>
      <c r="Q34" s="4"/>
      <c r="R34" s="4"/>
    </row>
    <row r="35" spans="1:18" x14ac:dyDescent="0.25">
      <c r="A35" s="9"/>
      <c r="B35" s="117" t="str">
        <f ca="1">Material!A60</f>
        <v>Лиственница</v>
      </c>
      <c r="C35" s="9">
        <v>30</v>
      </c>
      <c r="D35" s="117">
        <f ca="1">Material!B60</f>
        <v>0.55000000000000004</v>
      </c>
      <c r="E35" s="9"/>
      <c r="F35" s="53">
        <v>0</v>
      </c>
      <c r="G35" s="53">
        <v>100</v>
      </c>
      <c r="H35" s="9"/>
      <c r="O35" s="4"/>
      <c r="P35" s="4"/>
      <c r="Q35" s="4"/>
      <c r="R35" s="4"/>
    </row>
    <row r="36" spans="1:18" x14ac:dyDescent="0.25">
      <c r="A36" s="9"/>
      <c r="B36" s="117" t="str">
        <f ca="1">Material!A61</f>
        <v>Ольха</v>
      </c>
      <c r="C36" s="9">
        <v>31</v>
      </c>
      <c r="D36" s="117">
        <f ca="1">Material!B61</f>
        <v>0.7</v>
      </c>
      <c r="E36" s="9"/>
      <c r="F36" s="53">
        <v>0</v>
      </c>
      <c r="G36" s="53">
        <v>100</v>
      </c>
      <c r="H36" s="9"/>
      <c r="O36" s="4"/>
      <c r="P36" s="4"/>
      <c r="Q36" s="4"/>
      <c r="R36" s="4"/>
    </row>
    <row r="37" spans="1:18" x14ac:dyDescent="0.25">
      <c r="A37" s="9"/>
      <c r="B37" s="117" t="str">
        <f ca="1">Material!A62</f>
        <v>Орех</v>
      </c>
      <c r="C37" s="9">
        <v>32</v>
      </c>
      <c r="D37" s="117">
        <f ca="1">Material!B62</f>
        <v>0.83</v>
      </c>
      <c r="E37" s="9"/>
      <c r="F37" s="53">
        <v>0</v>
      </c>
      <c r="G37" s="53">
        <v>100</v>
      </c>
      <c r="H37" s="9"/>
      <c r="O37" s="4"/>
      <c r="P37" s="4"/>
      <c r="Q37" s="4"/>
      <c r="R37" s="4"/>
    </row>
    <row r="38" spans="1:18" x14ac:dyDescent="0.25">
      <c r="A38" s="9"/>
      <c r="B38" s="117" t="str">
        <f ca="1">Material!A63</f>
        <v>Осина</v>
      </c>
      <c r="C38" s="9">
        <v>33</v>
      </c>
      <c r="D38" s="117">
        <f ca="1">Material!B63</f>
        <v>0.42</v>
      </c>
      <c r="E38" s="9"/>
      <c r="F38" s="53">
        <v>0</v>
      </c>
      <c r="G38" s="53">
        <v>100</v>
      </c>
      <c r="H38" s="9"/>
      <c r="O38" s="4"/>
      <c r="P38" s="4"/>
      <c r="Q38" s="4"/>
      <c r="R38" s="4"/>
    </row>
    <row r="39" spans="1:18" x14ac:dyDescent="0.25">
      <c r="A39" s="9"/>
      <c r="B39" s="117" t="str">
        <f ca="1">Material!A64</f>
        <v>Пихта</v>
      </c>
      <c r="C39" s="9">
        <v>34</v>
      </c>
      <c r="D39" s="117">
        <f ca="1">Material!B64</f>
        <v>0.41</v>
      </c>
      <c r="E39" s="9"/>
      <c r="F39" s="53">
        <v>0</v>
      </c>
      <c r="G39" s="53">
        <v>100</v>
      </c>
      <c r="H39" s="9"/>
      <c r="O39" s="4"/>
      <c r="P39" s="4"/>
      <c r="Q39" s="4"/>
      <c r="R39" s="4"/>
    </row>
    <row r="40" spans="1:18" x14ac:dyDescent="0.25">
      <c r="A40" s="9"/>
      <c r="B40" s="117" t="str">
        <f ca="1">Material!A65</f>
        <v>Платан</v>
      </c>
      <c r="C40" s="9">
        <v>35</v>
      </c>
      <c r="D40" s="117">
        <f ca="1">Material!B65</f>
        <v>0.6</v>
      </c>
      <c r="E40" s="9"/>
      <c r="F40" s="53">
        <v>0</v>
      </c>
      <c r="G40" s="53">
        <v>100</v>
      </c>
      <c r="H40" s="9"/>
      <c r="O40" s="4"/>
      <c r="P40" s="4"/>
      <c r="Q40" s="4"/>
      <c r="R40" s="4"/>
    </row>
    <row r="41" spans="1:18" x14ac:dyDescent="0.25">
      <c r="A41" s="9"/>
      <c r="B41" s="117" t="str">
        <f ca="1">Material!A66</f>
        <v>Рамин</v>
      </c>
      <c r="C41" s="9">
        <v>36</v>
      </c>
      <c r="D41" s="117">
        <f ca="1">Material!B66</f>
        <v>0.67</v>
      </c>
      <c r="E41" s="9"/>
      <c r="F41" s="53">
        <v>0</v>
      </c>
      <c r="G41" s="53">
        <v>100</v>
      </c>
      <c r="H41" s="9"/>
      <c r="O41" s="4"/>
      <c r="P41" s="4"/>
      <c r="Q41" s="4"/>
      <c r="R41" s="4"/>
    </row>
    <row r="42" spans="1:18" x14ac:dyDescent="0.25">
      <c r="A42" s="9"/>
      <c r="B42" s="117" t="str">
        <f ca="1">Material!A67</f>
        <v>Секвойя</v>
      </c>
      <c r="C42" s="9">
        <v>37</v>
      </c>
      <c r="D42" s="117">
        <f ca="1">Material!B67</f>
        <v>0.51</v>
      </c>
      <c r="E42" s="9"/>
      <c r="F42" s="53">
        <v>0</v>
      </c>
      <c r="G42" s="53">
        <v>100</v>
      </c>
      <c r="H42" s="9"/>
      <c r="O42" s="4"/>
      <c r="P42" s="4"/>
      <c r="Q42" s="4"/>
      <c r="R42" s="4"/>
    </row>
    <row r="43" spans="1:18" x14ac:dyDescent="0.25">
      <c r="A43" s="9"/>
      <c r="B43" s="117" t="str">
        <f ca="1">Material!A68</f>
        <v>Сосна</v>
      </c>
      <c r="C43" s="9">
        <v>38</v>
      </c>
      <c r="D43" s="117">
        <f ca="1">Material!B68</f>
        <v>0.45</v>
      </c>
      <c r="E43" s="9"/>
      <c r="F43" s="53">
        <v>0</v>
      </c>
      <c r="G43" s="53">
        <v>100</v>
      </c>
      <c r="H43" s="9"/>
      <c r="O43" s="4"/>
      <c r="P43" s="4"/>
      <c r="Q43" s="4"/>
      <c r="R43" s="4"/>
    </row>
    <row r="44" spans="1:18" x14ac:dyDescent="0.25">
      <c r="A44" s="9"/>
      <c r="B44" s="117" t="str">
        <f ca="1">Material!A69</f>
        <v>Тик</v>
      </c>
      <c r="C44" s="9">
        <v>39</v>
      </c>
      <c r="D44" s="117">
        <f ca="1">Material!B69</f>
        <v>0.98</v>
      </c>
      <c r="E44" s="9"/>
      <c r="F44" s="53">
        <v>0</v>
      </c>
      <c r="G44" s="53">
        <v>100</v>
      </c>
      <c r="H44" s="9"/>
      <c r="O44" s="4"/>
      <c r="P44" s="4"/>
      <c r="Q44" s="4"/>
      <c r="R44" s="4"/>
    </row>
    <row r="45" spans="1:18" x14ac:dyDescent="0.25">
      <c r="A45" s="9"/>
      <c r="B45" s="117" t="str">
        <f ca="1">Material!A70</f>
        <v>Тополь</v>
      </c>
      <c r="C45" s="9">
        <v>40</v>
      </c>
      <c r="D45" s="117">
        <f ca="1">Material!B70</f>
        <v>0.5</v>
      </c>
      <c r="E45" s="9"/>
      <c r="F45" s="53">
        <v>0</v>
      </c>
      <c r="G45" s="53">
        <v>100</v>
      </c>
      <c r="H45" s="9"/>
      <c r="O45" s="4"/>
      <c r="P45" s="4"/>
      <c r="Q45" s="4"/>
      <c r="R45" s="4"/>
    </row>
    <row r="46" spans="1:18" x14ac:dyDescent="0.25">
      <c r="A46" s="9"/>
      <c r="B46" s="117" t="str">
        <f ca="1">Material!A71</f>
        <v>Тсуга</v>
      </c>
      <c r="C46" s="9">
        <v>41</v>
      </c>
      <c r="D46" s="117">
        <f ca="1">Material!B71</f>
        <v>0.5</v>
      </c>
      <c r="E46" s="9"/>
      <c r="F46" s="53">
        <v>0</v>
      </c>
      <c r="G46" s="53">
        <v>100</v>
      </c>
      <c r="H46" s="9"/>
      <c r="O46" s="4"/>
      <c r="P46" s="4"/>
      <c r="Q46" s="4"/>
      <c r="R46" s="4"/>
    </row>
    <row r="47" spans="1:18" x14ac:dyDescent="0.25">
      <c r="A47" s="9"/>
      <c r="B47" s="117" t="str">
        <f ca="1">Material!A72</f>
        <v>Эбеновое дерево</v>
      </c>
      <c r="C47" s="9">
        <v>42</v>
      </c>
      <c r="D47" s="117">
        <f ca="1">Material!B72</f>
        <v>1.3</v>
      </c>
      <c r="E47" s="9"/>
      <c r="F47" s="53">
        <v>0</v>
      </c>
      <c r="G47" s="53">
        <v>100</v>
      </c>
      <c r="H47" s="9"/>
      <c r="O47" s="4"/>
      <c r="P47" s="4"/>
      <c r="Q47" s="4"/>
      <c r="R47" s="4"/>
    </row>
    <row r="48" spans="1:18" x14ac:dyDescent="0.25">
      <c r="A48" s="9"/>
      <c r="B48" s="117" t="str">
        <f ca="1">Material!A73</f>
        <v>Яблоня</v>
      </c>
      <c r="C48" s="9">
        <v>43</v>
      </c>
      <c r="D48" s="117">
        <f ca="1">Material!B73</f>
        <v>0.8</v>
      </c>
      <c r="E48" s="9"/>
      <c r="F48" s="53">
        <v>0</v>
      </c>
      <c r="G48" s="53">
        <v>100</v>
      </c>
      <c r="H48" s="9"/>
      <c r="O48" s="4"/>
      <c r="P48" s="4"/>
      <c r="Q48" s="4"/>
      <c r="R48" s="4"/>
    </row>
    <row r="49" spans="1:18" x14ac:dyDescent="0.25">
      <c r="A49" s="9"/>
      <c r="B49" s="117" t="str">
        <f ca="1">Material!A74</f>
        <v>Ясень</v>
      </c>
      <c r="C49" s="9">
        <v>44</v>
      </c>
      <c r="D49" s="117">
        <f ca="1">Material!B74</f>
        <v>0.71</v>
      </c>
      <c r="E49" s="9"/>
      <c r="F49" s="53">
        <v>0</v>
      </c>
      <c r="G49" s="53">
        <v>100</v>
      </c>
      <c r="H49" s="9"/>
      <c r="O49" s="4"/>
      <c r="P49" s="4"/>
      <c r="Q49" s="4"/>
      <c r="R49" s="4"/>
    </row>
    <row r="50" spans="1:18" x14ac:dyDescent="0.25">
      <c r="A50" s="9"/>
      <c r="B50" s="117" t="str">
        <f ca="1">Material!A75</f>
        <v/>
      </c>
      <c r="C50" s="9">
        <v>45</v>
      </c>
      <c r="D50" s="117">
        <f ca="1">Material!B75</f>
        <v>0</v>
      </c>
      <c r="E50" s="9"/>
      <c r="F50" s="53">
        <v>0</v>
      </c>
      <c r="G50" s="53">
        <v>100</v>
      </c>
      <c r="H50" s="9"/>
      <c r="O50" s="4"/>
      <c r="P50" s="4"/>
      <c r="Q50" s="4"/>
      <c r="R50" s="4"/>
    </row>
    <row r="51" spans="1:18" x14ac:dyDescent="0.25">
      <c r="A51" s="9"/>
      <c r="B51" s="117" t="str">
        <f ca="1">Material!A76</f>
        <v/>
      </c>
      <c r="C51" s="9">
        <v>46</v>
      </c>
      <c r="D51" s="117">
        <f ca="1">Material!B76</f>
        <v>0</v>
      </c>
      <c r="E51" s="9"/>
      <c r="F51" s="53">
        <v>0</v>
      </c>
      <c r="G51" s="53">
        <v>100</v>
      </c>
      <c r="H51" s="9"/>
      <c r="O51" s="4"/>
      <c r="P51" s="4"/>
      <c r="Q51" s="4"/>
      <c r="R51" s="4"/>
    </row>
    <row r="52" spans="1:18" s="117" customFormat="1" x14ac:dyDescent="0.25">
      <c r="A52" s="9"/>
      <c r="B52" s="117" t="str">
        <f ca="1">Material!A77</f>
        <v/>
      </c>
      <c r="C52" s="9">
        <v>47</v>
      </c>
      <c r="D52" s="117">
        <f ca="1">Material!B77</f>
        <v>0</v>
      </c>
      <c r="E52" s="9"/>
      <c r="F52" s="53">
        <v>0</v>
      </c>
      <c r="G52" s="53">
        <v>100</v>
      </c>
      <c r="H52" s="9"/>
      <c r="O52" s="4"/>
      <c r="P52" s="4"/>
      <c r="Q52" s="4"/>
      <c r="R52" s="4"/>
    </row>
    <row r="53" spans="1:18" s="117" customFormat="1" x14ac:dyDescent="0.25">
      <c r="A53" s="9"/>
      <c r="B53" s="117" t="str">
        <f ca="1">Material!A78</f>
        <v/>
      </c>
      <c r="C53" s="9">
        <v>48</v>
      </c>
      <c r="D53" s="117">
        <f ca="1">Material!B78</f>
        <v>0</v>
      </c>
      <c r="E53" s="9"/>
      <c r="F53" s="53">
        <v>0</v>
      </c>
      <c r="G53" s="53">
        <v>100</v>
      </c>
      <c r="H53" s="9"/>
      <c r="O53" s="4"/>
      <c r="P53" s="4"/>
      <c r="Q53" s="4"/>
      <c r="R53" s="4"/>
    </row>
    <row r="54" spans="1:18" s="117" customFormat="1" x14ac:dyDescent="0.25">
      <c r="A54" s="9"/>
      <c r="B54" s="117" t="str">
        <f ca="1">Material!A79</f>
        <v/>
      </c>
      <c r="C54" s="9">
        <v>49</v>
      </c>
      <c r="D54" s="117">
        <f ca="1">Material!B79</f>
        <v>0</v>
      </c>
      <c r="E54" s="9"/>
      <c r="F54" s="53">
        <v>0</v>
      </c>
      <c r="G54" s="53">
        <v>100</v>
      </c>
      <c r="H54" s="9"/>
      <c r="O54" s="4"/>
      <c r="P54" s="4"/>
      <c r="Q54" s="4"/>
      <c r="R54" s="4"/>
    </row>
    <row r="55" spans="1:18" s="117" customFormat="1" x14ac:dyDescent="0.25">
      <c r="A55" s="9"/>
      <c r="B55" s="117" t="str">
        <f ca="1">Material!A80</f>
        <v/>
      </c>
      <c r="C55" s="9">
        <v>50</v>
      </c>
      <c r="D55" s="117">
        <f ca="1">Material!B80</f>
        <v>0</v>
      </c>
      <c r="E55" s="9"/>
      <c r="F55" s="53">
        <v>0</v>
      </c>
      <c r="G55" s="53">
        <v>100</v>
      </c>
      <c r="H55" s="9"/>
      <c r="O55" s="4"/>
      <c r="P55" s="4"/>
      <c r="Q55" s="4"/>
      <c r="R55" s="4"/>
    </row>
    <row r="56" spans="1:18" s="117" customFormat="1" x14ac:dyDescent="0.25">
      <c r="A56" s="9"/>
      <c r="B56" s="117" t="str">
        <f ca="1">Material!A81</f>
        <v/>
      </c>
      <c r="C56" s="9">
        <v>51</v>
      </c>
      <c r="D56" s="117">
        <f ca="1">Material!B81</f>
        <v>0</v>
      </c>
      <c r="E56" s="9"/>
      <c r="F56" s="53">
        <v>0</v>
      </c>
      <c r="G56" s="53">
        <v>100</v>
      </c>
      <c r="H56" s="9"/>
      <c r="O56" s="4"/>
      <c r="P56" s="4"/>
      <c r="Q56" s="4"/>
      <c r="R56" s="4"/>
    </row>
    <row r="57" spans="1:18" s="117" customFormat="1" x14ac:dyDescent="0.25">
      <c r="A57" s="9"/>
      <c r="B57" s="117" t="str">
        <f ca="1">Material!A82</f>
        <v/>
      </c>
      <c r="C57" s="9">
        <v>52</v>
      </c>
      <c r="D57" s="117">
        <f ca="1">Material!B82</f>
        <v>0</v>
      </c>
      <c r="E57" s="9"/>
      <c r="F57" s="53">
        <v>0</v>
      </c>
      <c r="G57" s="53">
        <v>100</v>
      </c>
      <c r="H57" s="9"/>
      <c r="O57" s="4"/>
      <c r="P57" s="4"/>
      <c r="Q57" s="4"/>
      <c r="R57" s="4"/>
    </row>
    <row r="58" spans="1:18" s="117" customFormat="1" x14ac:dyDescent="0.25">
      <c r="A58" s="9"/>
      <c r="B58" s="117" t="str">
        <f ca="1">Material!A83</f>
        <v/>
      </c>
      <c r="C58" s="9">
        <v>53</v>
      </c>
      <c r="D58" s="117">
        <f ca="1">Material!B83</f>
        <v>0</v>
      </c>
      <c r="E58" s="9"/>
      <c r="F58" s="53">
        <v>0</v>
      </c>
      <c r="G58" s="53">
        <v>100</v>
      </c>
      <c r="H58" s="9"/>
      <c r="O58" s="4"/>
      <c r="P58" s="4"/>
      <c r="Q58" s="4"/>
      <c r="R58" s="4"/>
    </row>
    <row r="59" spans="1:18" s="117" customFormat="1" x14ac:dyDescent="0.25">
      <c r="A59" s="9"/>
      <c r="B59" s="117" t="str">
        <f ca="1">Material!A84</f>
        <v/>
      </c>
      <c r="C59" s="9">
        <v>54</v>
      </c>
      <c r="D59" s="117">
        <f ca="1">Material!B84</f>
        <v>0</v>
      </c>
      <c r="E59" s="9"/>
      <c r="F59" s="53">
        <v>0</v>
      </c>
      <c r="G59" s="53">
        <v>100</v>
      </c>
      <c r="H59" s="9"/>
      <c r="O59" s="4"/>
      <c r="P59" s="4"/>
      <c r="Q59" s="4"/>
      <c r="R59" s="4"/>
    </row>
    <row r="60" spans="1:18" x14ac:dyDescent="0.25">
      <c r="A60" s="9"/>
      <c r="B60" s="117" t="str">
        <f ca="1">Material!A85</f>
        <v/>
      </c>
      <c r="C60" s="9">
        <v>55</v>
      </c>
      <c r="D60" s="117">
        <f ca="1">Material!B85</f>
        <v>0</v>
      </c>
      <c r="E60" s="9"/>
      <c r="F60" s="53">
        <v>0</v>
      </c>
      <c r="G60" s="53">
        <v>100</v>
      </c>
      <c r="H60" s="9"/>
      <c r="O60" s="4"/>
      <c r="P60" s="4"/>
      <c r="Q60" s="4"/>
      <c r="R60" s="4"/>
    </row>
    <row r="61" spans="1:18" x14ac:dyDescent="0.25">
      <c r="A61" s="9"/>
      <c r="B61" s="117" t="str">
        <f ca="1">Material!A86</f>
        <v/>
      </c>
      <c r="C61" s="9">
        <v>56</v>
      </c>
      <c r="D61" s="117">
        <f ca="1">Material!B86</f>
        <v>0</v>
      </c>
      <c r="E61" s="9"/>
      <c r="F61" s="53">
        <v>0</v>
      </c>
      <c r="G61" s="53">
        <v>100</v>
      </c>
      <c r="H61" s="9"/>
      <c r="O61" s="4"/>
      <c r="P61" s="4"/>
      <c r="Q61" s="4"/>
      <c r="R61" s="4"/>
    </row>
    <row r="62" spans="1:18" s="117" customFormat="1" x14ac:dyDescent="0.25">
      <c r="A62" s="9"/>
      <c r="B62" s="117" t="str">
        <f ca="1">Material!A87</f>
        <v/>
      </c>
      <c r="C62" s="9">
        <v>57</v>
      </c>
      <c r="D62" s="117">
        <f ca="1">Material!B87</f>
        <v>0</v>
      </c>
      <c r="E62" s="9"/>
      <c r="F62" s="53">
        <v>0</v>
      </c>
      <c r="G62" s="53">
        <v>100</v>
      </c>
      <c r="H62" s="9"/>
      <c r="O62" s="4"/>
      <c r="P62" s="4"/>
      <c r="Q62" s="4"/>
      <c r="R62" s="4"/>
    </row>
    <row r="63" spans="1:18" s="117" customFormat="1" x14ac:dyDescent="0.25">
      <c r="A63" s="9"/>
      <c r="B63" s="117" t="str">
        <f ca="1">Material!A88</f>
        <v/>
      </c>
      <c r="C63" s="9">
        <v>58</v>
      </c>
      <c r="D63" s="117">
        <f ca="1">Material!B88</f>
        <v>0</v>
      </c>
      <c r="E63" s="9"/>
      <c r="F63" s="53">
        <v>0</v>
      </c>
      <c r="G63" s="53">
        <v>100</v>
      </c>
      <c r="H63" s="9"/>
      <c r="O63" s="4"/>
      <c r="P63" s="4"/>
      <c r="Q63" s="4"/>
      <c r="R63" s="4"/>
    </row>
    <row r="64" spans="1:18" s="117" customFormat="1" x14ac:dyDescent="0.25">
      <c r="A64" s="9"/>
      <c r="B64" s="117" t="str">
        <f ca="1">Material!A89</f>
        <v/>
      </c>
      <c r="C64" s="9">
        <v>59</v>
      </c>
      <c r="D64" s="117">
        <f ca="1">Material!B89</f>
        <v>0</v>
      </c>
      <c r="E64" s="9"/>
      <c r="F64" s="53">
        <v>0</v>
      </c>
      <c r="G64" s="53">
        <v>100</v>
      </c>
      <c r="H64" s="9"/>
      <c r="O64" s="4"/>
      <c r="P64" s="4"/>
      <c r="Q64" s="4"/>
      <c r="R64" s="4"/>
    </row>
    <row r="65" spans="1:18" s="117" customFormat="1" x14ac:dyDescent="0.25">
      <c r="A65" s="9"/>
      <c r="B65" s="117" t="str">
        <f ca="1">Material!A90</f>
        <v/>
      </c>
      <c r="C65" s="9">
        <v>60</v>
      </c>
      <c r="D65" s="117">
        <f ca="1">Material!B90</f>
        <v>0</v>
      </c>
      <c r="E65" s="9"/>
      <c r="F65" s="53">
        <v>0</v>
      </c>
      <c r="G65" s="53">
        <v>100</v>
      </c>
      <c r="H65" s="9"/>
      <c r="O65" s="4"/>
      <c r="P65" s="4"/>
      <c r="Q65" s="4"/>
      <c r="R65" s="4"/>
    </row>
    <row r="66" spans="1:18" x14ac:dyDescent="0.25">
      <c r="A66" s="9"/>
      <c r="B66" s="117" t="str">
        <f ca="1">Material!A91</f>
        <v/>
      </c>
      <c r="C66" s="9">
        <v>61</v>
      </c>
      <c r="D66" s="117">
        <f ca="1">Material!B91</f>
        <v>0</v>
      </c>
      <c r="E66" s="9"/>
      <c r="F66" s="53">
        <v>0</v>
      </c>
      <c r="G66" s="53">
        <v>100</v>
      </c>
      <c r="H66" s="9"/>
      <c r="O66" s="4"/>
      <c r="P66" s="4"/>
      <c r="Q66" s="4"/>
      <c r="R66" s="4"/>
    </row>
    <row r="67" spans="1:18" x14ac:dyDescent="0.25">
      <c r="A67" s="76" t="s">
        <v>691</v>
      </c>
      <c r="B67" s="9"/>
      <c r="C67" s="9"/>
      <c r="D67" s="9"/>
      <c r="E67" s="9"/>
      <c r="F67" s="9"/>
      <c r="G67" s="9"/>
      <c r="H67" s="9"/>
    </row>
    <row r="68" spans="1:18" x14ac:dyDescent="0.25">
      <c r="D68" s="74">
        <f ca="1">VLOOKUP(C5,C6:E66,2,FALSE)</f>
        <v>2.5</v>
      </c>
      <c r="E68" t="s">
        <v>58</v>
      </c>
      <c r="F68" t="s">
        <v>101</v>
      </c>
    </row>
    <row r="69" spans="1:18" ht="15.75" thickBot="1" x14ac:dyDescent="0.3">
      <c r="B69" t="s">
        <v>64</v>
      </c>
      <c r="C69">
        <f>KINVARO!$AW$3/10*KINVARO!$AW$4/10*KINVARO!$AW$5/10</f>
        <v>10626.7</v>
      </c>
      <c r="D69">
        <f ca="1">ROUND(C69*D68/1000,2)</f>
        <v>26.57</v>
      </c>
      <c r="E69" t="s">
        <v>65</v>
      </c>
      <c r="F69">
        <f>KINVARO!BJ10/1000</f>
        <v>0.7</v>
      </c>
      <c r="G69" t="s">
        <v>65</v>
      </c>
      <c r="I69" t="s">
        <v>103</v>
      </c>
      <c r="L69" t="s">
        <v>62</v>
      </c>
    </row>
    <row r="70" spans="1:18" ht="16.5" thickTop="1" thickBot="1" x14ac:dyDescent="0.3">
      <c r="B70" t="s">
        <v>63</v>
      </c>
      <c r="D70">
        <f>KINVARO!AW12</f>
        <v>9</v>
      </c>
      <c r="E70" t="s">
        <v>65</v>
      </c>
      <c r="F70">
        <f>(KINVARO!BJ12/1000)</f>
        <v>0.2</v>
      </c>
      <c r="G70" t="s">
        <v>65</v>
      </c>
      <c r="I70">
        <f>IF(K70=2,D69+IF(K71=TRUE,F69,F70),D70+IF(K71=TRUE,F69,F70))</f>
        <v>9.6999999999999993</v>
      </c>
      <c r="K70" s="15">
        <v>1</v>
      </c>
      <c r="L70" t="s">
        <v>182</v>
      </c>
    </row>
    <row r="71" spans="1:18" ht="16.5" thickTop="1" thickBot="1" x14ac:dyDescent="0.3">
      <c r="K71" s="332" t="b">
        <v>1</v>
      </c>
      <c r="L71" t="s">
        <v>181</v>
      </c>
    </row>
    <row r="72" spans="1:18" ht="16.5" thickTop="1" thickBot="1" x14ac:dyDescent="0.3">
      <c r="K72" s="332" t="b">
        <v>0</v>
      </c>
      <c r="L72" t="s">
        <v>180</v>
      </c>
    </row>
    <row r="73" spans="1:18" ht="15.75" thickTop="1" x14ac:dyDescent="0.25"/>
    <row r="75" spans="1:18" ht="72" x14ac:dyDescent="0.25">
      <c r="A75" s="16"/>
      <c r="C75" s="31"/>
      <c r="D75" s="32" t="str">
        <f ca="1">Sprache!$A$109</f>
        <v>Сторона</v>
      </c>
      <c r="E75" s="32" t="str">
        <f ca="1">Sprache!$A$108</f>
        <v>Артикул №</v>
      </c>
      <c r="F75" s="32" t="str">
        <f ca="1">Sprache!$A$107</f>
        <v>Наименование</v>
      </c>
      <c r="G75" s="31"/>
      <c r="H75" s="32" t="str">
        <f ca="1">Sprache!$A$110</f>
        <v>Силовой механизм</v>
      </c>
      <c r="I75" s="31"/>
      <c r="J75" s="13" t="str">
        <f ca="1">Sprache!$A$83</f>
        <v>Высота</v>
      </c>
      <c r="K75" s="13"/>
      <c r="L75" s="13" t="str">
        <f ca="1">Sprache!$A$86</f>
        <v>Вес</v>
      </c>
      <c r="M75" s="13"/>
      <c r="N75" s="13" t="str">
        <f ca="1">Sprache!$A$96</f>
        <v>Требуется также</v>
      </c>
      <c r="O75" s="13"/>
      <c r="P75" s="13" t="str">
        <f ca="1">Sprache!$A$98</f>
        <v>Шарнир</v>
      </c>
      <c r="Q75" s="13">
        <f ca="1">Sprache!$A$100</f>
        <v>0</v>
      </c>
    </row>
    <row r="76" spans="1:18" x14ac:dyDescent="0.25">
      <c r="B76" s="17" t="str">
        <f t="array" aca="1" ref="B76" ca="1">IFERROR(INDEX(Daten!$U$2:$U$809,LARGE((Daten!$B$2:$B$809=Limits!$P$18)*(ROW(Daten!$B$2:$B$809)-1),COUNTIF(Daten!$B$2:$B$809,Limits!$P$18)+1-ROW(Daten!A1))),"")</f>
        <v>F-20 Складной подъемник</v>
      </c>
      <c r="C76" s="4"/>
      <c r="D76" s="2" t="str">
        <f t="array" aca="1" ref="D76" ca="1">IFERROR(INDEX(Daten!$AL$2:$AL$741,LARGE((Daten!$B$2:$B$741=Limits!$P$18)*(ROW(Daten!$B$2:$B$741)-1),COUNTIF(Daten!$B$2:$B$741,Limits!$P$18)+1-ROW(Daten!A1))),"")</f>
        <v>Комплект (Л + П)</v>
      </c>
      <c r="E76" s="2" t="str">
        <f t="array" aca="1" ref="E76" ca="1">IFERROR(INDEX(Daten!$AK$2:$AK$741,LARGE((Daten!$B$2:$B$741=Limits!$P$18)*(ROW(Daten!$B$2:$B$741)-1),COUNTIF(Daten!$B$2:$B$741,Limits!$P$18)+1-ROW(Daten!A1))),"")</f>
        <v>F152145246201</v>
      </c>
      <c r="F76" s="2" t="str">
        <f t="array" aca="1" ref="F76" ca="1">IFERROR(INDEX(Daten!$AM$2:$AM$741,LARGE((Daten!$B$2:$B$741=Limits!$P$18)*(ROW(Daten!$B$2:$B$741)-1),COUNTIF(Daten!$B$2:$B$741,Limits!$P$18)+1-ROW(Daten!A1))),"")</f>
        <v>Направляющий рычаг, тип 7</v>
      </c>
      <c r="G76" s="4"/>
      <c r="H76" s="2" t="str">
        <f t="array" aca="1" ref="H76" ca="1">IFERROR(INDEX(Daten!$AN$2:$AN$741,LARGE((Daten!$B$2:$B$741=Limits!$P$18)*(ROW(Daten!$B$2:$B$741)-1),COUNTIF(Daten!$B$2:$B$741,Limits!$P$18)+1-ROW(Daten!A1))),"")</f>
        <v>Силовой механизм C</v>
      </c>
      <c r="I76" s="4"/>
      <c r="J76" s="2">
        <f t="array" aca="1" ref="J76" ca="1">IFERROR(INDEX(Daten!$AA$2:$AA$741,LARGE((Daten!$B$2:$B$741=Limits!$P$18)*(ROW(Daten!$B$2:$B$741)-1),COUNTIF(Daten!$B$2:$B$741,Limits!$P$18)+1-ROW(Daten!A1))),"")</f>
        <v>750</v>
      </c>
      <c r="K76" s="14">
        <f t="array" aca="1" ref="K76" ca="1">IFERROR(INDEX(Daten!$AB$2:$AB$741,LARGE((Daten!$B$2:$B$741=Limits!$P$18)*(ROW(Daten!$B$2:$B$741)-1),COUNTIF(Daten!$B$2:$B$741,Limits!$P$18)+1-ROW(Daten!A1))),"")</f>
        <v>800</v>
      </c>
      <c r="L76" s="10">
        <f t="array" aca="1" ref="L76" ca="1">IFERROR(INDEX(Daten!$AD$2:$AD$741,LARGE((Daten!$B$2:$B$741=Limits!$P$18)*(ROW(Daten!$B$2:$B$741)-1),COUNTIF(Daten!$B$2:$B$741,Limits!$P$18)+1-ROW(Daten!A1))),"")</f>
        <v>6</v>
      </c>
      <c r="M76" s="14">
        <f t="array" aca="1" ref="M76" ca="1">IFERROR(INDEX(Daten!$AE$2:$AE$741,LARGE((Daten!$B$2:$B$741=Limits!$P$18)*(ROW(Daten!$B$2:$B$741)-1),COUNTIF(Daten!$B$2:$B$741,Limits!$P$18)+1-ROW(Daten!A1))),"")</f>
        <v>15.6</v>
      </c>
      <c r="N76" s="2" t="str">
        <f t="array" aca="1" ref="N76" ca="1">IFERROR(INDEX(Daten!$AO$2:$AO$741,LARGE((Daten!$B$2:$B$741=Limits!$P$18)*(ROW(Daten!$B$2:$B$741)-1),COUNTIF(Daten!$B$2:$B$741,Limits!$P$18)+1-ROW(Daten!A1))),"")</f>
        <v>-</v>
      </c>
      <c r="O76" s="18" t="str">
        <f t="array" aca="1" ref="O76" ca="1">IFERROR(INDEX(Daten!$AP$2:$AP$741,LARGE((Daten!$B$2:$B$741=Limits!$P$18)*(ROW(Daten!$B$2:$B$741)-1),COUNTIF(Daten!$B$2:$B$741,Limits!$P$18)+1-ROW(Daten!A1))),"")</f>
        <v>-</v>
      </c>
      <c r="P76" t="str">
        <f t="array" aca="1" ref="P76" ca="1">IFERROR(INDEX(Daten!$AS$2:$AS$741,LARGE((Daten!$B$2:$B$741=Limits!$P$18)*(ROW(Daten!$B$2:$B$741)-1),COUNTIF(Daten!$B$2:$B$741,Limits!$P$18)+1-ROW(Daten!A1))),"")</f>
        <v>TIOMOS 120° Шарнир</v>
      </c>
      <c r="Q76" t="str">
        <f t="array" aca="1" ref="Q76" ca="1">IFERROR(INDEX(Daten!$AT$2:$AT$741,LARGE((Daten!$B$2:$B$741=Limits!$P$18)*(ROW(Daten!$B$2:$B$741)-1),COUNTIF(Daten!$B$2:$B$741,Limits!$P$18)+1-ROW(Daten!A1))),"")</f>
        <v>1D° Монтажная плита</v>
      </c>
    </row>
    <row r="77" spans="1:18" x14ac:dyDescent="0.25">
      <c r="B77" s="17" t="str">
        <f t="array" aca="1" ref="B77" ca="1">IFERROR(INDEX(Daten!$U$2:$U$741,LARGE((Daten!$B$2:$B$741=Limits!$P$18)*(ROW(Daten!$B$2:$B$741)-1),COUNTIF(Daten!$B$2:$B$741,Limits!$P$18)+1-ROW(Daten!A2))),"")</f>
        <v>F-20 Складной подъемник</v>
      </c>
      <c r="C77" s="4"/>
      <c r="D77" s="2" t="str">
        <f t="array" aca="1" ref="D77" ca="1">IFERROR(INDEX(Daten!$AL$2:$AL$741,LARGE((Daten!$B$2:$B$741=Limits!$P$18)*(ROW(Daten!$B$2:$B$741)-1),COUNTIF(Daten!$B$2:$B$741,Limits!$P$18)+1-ROW(Daten!A2))),"")</f>
        <v>Комплект (Л + П)</v>
      </c>
      <c r="E77" s="2" t="str">
        <f t="array" aca="1" ref="E77" ca="1">IFERROR(INDEX(Daten!$AK$2:$AK$741,LARGE((Daten!$B$2:$B$741=Limits!$P$18)*(ROW(Daten!$B$2:$B$741)-1),COUNTIF(Daten!$B$2:$B$741,Limits!$P$18)+1-ROW(Daten!A2))),"")</f>
        <v>F152145247201</v>
      </c>
      <c r="F77" s="2" t="str">
        <f t="array" aca="1" ref="F77" ca="1">IFERROR(INDEX(Daten!$AM$2:$AM$741,LARGE((Daten!$B$2:$B$741=Limits!$P$18)*(ROW(Daten!$B$2:$B$741)-1),COUNTIF(Daten!$B$2:$B$741,Limits!$P$18)+1-ROW(Daten!A2))),"")</f>
        <v>Направляющий рычаг, тип 7</v>
      </c>
      <c r="G77" s="4"/>
      <c r="H77" s="2" t="str">
        <f t="array" aca="1" ref="H77" ca="1">IFERROR(INDEX(Daten!$AN$2:$AN$741,LARGE((Daten!$B$2:$B$741=Limits!$P$18)*(ROW(Daten!$B$2:$B$741)-1),COUNTIF(Daten!$B$2:$B$741,Limits!$P$18)+1-ROW(Daten!A2))),"")</f>
        <v>Силовой механизм D</v>
      </c>
      <c r="I77" s="4"/>
      <c r="J77" s="2">
        <f t="array" aca="1" ref="J77" ca="1">IFERROR(INDEX(Daten!$AA$2:$AA$741,LARGE((Daten!$B$2:$B$741=Limits!$P$18)*(ROW(Daten!$B$2:$B$741)-1),COUNTIF(Daten!$B$2:$B$741,Limits!$P$18)+1-ROW(Daten!A2))),"")</f>
        <v>750</v>
      </c>
      <c r="K77" s="14">
        <f t="array" aca="1" ref="K77" ca="1">IFERROR(INDEX(Daten!$AB$2:$AB$741,LARGE((Daten!$B$2:$B$741=Limits!$P$18)*(ROW(Daten!$B$2:$B$741)-1),COUNTIF(Daten!$B$2:$B$741,Limits!$P$18)+1-ROW(Daten!A2))),"")</f>
        <v>800</v>
      </c>
      <c r="L77" s="10">
        <f t="array" aca="1" ref="L77" ca="1">IFERROR(INDEX(Daten!$AD$2:$AD$741,LARGE((Daten!$B$2:$B$741=Limits!$P$18)*(ROW(Daten!$B$2:$B$741)-1),COUNTIF(Daten!$B$2:$B$741,Limits!$P$18)+1-ROW(Daten!A2))),"")</f>
        <v>8.6</v>
      </c>
      <c r="M77" s="14">
        <f t="array" aca="1" ref="M77" ca="1">IFERROR(INDEX(Daten!$AE$2:$AE$741,LARGE((Daten!$B$2:$B$741=Limits!$P$18)*(ROW(Daten!$B$2:$B$741)-1),COUNTIF(Daten!$B$2:$B$741,Limits!$P$18)+1-ROW(Daten!A2))),"")</f>
        <v>19.2</v>
      </c>
      <c r="N77" s="2" t="str">
        <f t="array" aca="1" ref="N77" ca="1">IFERROR(INDEX(Daten!$AO$2:$AO$741,LARGE((Daten!$B$2:$B$741=Limits!$P$18)*(ROW(Daten!$B$2:$B$741)-1),COUNTIF(Daten!$B$2:$B$741,Limits!$P$18)+1-ROW(Daten!A2))),"")</f>
        <v>-</v>
      </c>
      <c r="O77" s="18" t="str">
        <f t="array" aca="1" ref="O77" ca="1">IFERROR(INDEX(Daten!$AP$2:$AP$741,LARGE((Daten!$B$2:$B$741=Limits!$P$18)*(ROW(Daten!$B$2:$B$741)-1),COUNTIF(Daten!$B$2:$B$741,Limits!$P$18)+1-ROW(Daten!A2))),"")</f>
        <v>-</v>
      </c>
      <c r="P77" t="str">
        <f t="array" aca="1" ref="P77" ca="1">IFERROR(INDEX(Daten!$AS$2:$AS$741,LARGE((Daten!$B$2:$B$741=Limits!$P$18)*(ROW(Daten!$B$2:$B$741)-1),COUNTIF(Daten!$B$2:$B$741,Limits!$P$18)+1-ROW(Daten!A2))),"")</f>
        <v>TIOMOS 120° Шарнир</v>
      </c>
      <c r="Q77" t="str">
        <f t="array" aca="1" ref="Q77" ca="1">IFERROR(INDEX(Daten!$AT$2:$AT$741,LARGE((Daten!$B$2:$B$741=Limits!$P$18)*(ROW(Daten!$B$2:$B$741)-1),COUNTIF(Daten!$B$2:$B$741,Limits!$P$18)+1-ROW(Daten!A2))),"")</f>
        <v>1D° Монтажная плита</v>
      </c>
    </row>
    <row r="78" spans="1:18" x14ac:dyDescent="0.25">
      <c r="B78" s="17" t="str">
        <f t="array" aca="1" ref="B78" ca="1">IFERROR(INDEX(Daten!$U$2:$U$741,LARGE((Daten!$B$2:$B$741=Limits!$P$18)*(ROW(Daten!$B$2:$B$741)-1),COUNTIF(Daten!$B$2:$B$741,Limits!$P$18)+1-ROW(Daten!A3))),"")</f>
        <v/>
      </c>
      <c r="C78" s="4"/>
      <c r="D78" s="2" t="str">
        <f t="array" aca="1" ref="D78" ca="1">IFERROR(INDEX(Daten!$AL$2:$AL$741,LARGE((Daten!$B$2:$B$741=Limits!$P$18)*(ROW(Daten!$B$2:$B$741)-1),COUNTIF(Daten!$B$2:$B$741,Limits!$P$18)+1-ROW(Daten!A3))),"")</f>
        <v/>
      </c>
      <c r="E78" s="2" t="str">
        <f t="array" aca="1" ref="E78" ca="1">IFERROR(INDEX(Daten!$AK$2:$AK$741,LARGE((Daten!$B$2:$B$741=Limits!$P$18)*(ROW(Daten!$B$2:$B$741)-1),COUNTIF(Daten!$B$2:$B$741,Limits!$P$18)+1-ROW(Daten!A3))),"")</f>
        <v/>
      </c>
      <c r="F78" s="2" t="str">
        <f t="array" aca="1" ref="F78" ca="1">IFERROR(INDEX(Daten!$AM$2:$AM$741,LARGE((Daten!$B$2:$B$741=Limits!$P$18)*(ROW(Daten!$B$2:$B$741)-1),COUNTIF(Daten!$B$2:$B$741,Limits!$P$18)+1-ROW(Daten!A3))),"")</f>
        <v/>
      </c>
      <c r="G78" s="4"/>
      <c r="H78" s="2" t="str">
        <f t="array" aca="1" ref="H78" ca="1">IFERROR(INDEX(Daten!$AN$2:$AN$741,LARGE((Daten!$B$2:$B$741=Limits!$P$18)*(ROW(Daten!$B$2:$B$741)-1),COUNTIF(Daten!$B$2:$B$741,Limits!$P$18)+1-ROW(Daten!A3))),"")</f>
        <v/>
      </c>
      <c r="I78" s="4"/>
      <c r="J78" s="2" t="str">
        <f t="array" aca="1" ref="J78" ca="1">IFERROR(INDEX(Daten!$AA$2:$AA$741,LARGE((Daten!$B$2:$B$741=Limits!$P$18)*(ROW(Daten!$B$2:$B$741)-1),COUNTIF(Daten!$B$2:$B$741,Limits!$P$18)+1-ROW(Daten!A3))),"")</f>
        <v/>
      </c>
      <c r="K78" s="14" t="str">
        <f t="array" aca="1" ref="K78" ca="1">IFERROR(INDEX(Daten!$AB$2:$AB$741,LARGE((Daten!$B$2:$B$741=Limits!$P$18)*(ROW(Daten!$B$2:$B$741)-1),COUNTIF(Daten!$B$2:$B$741,Limits!$P$18)+1-ROW(Daten!A3))),"")</f>
        <v/>
      </c>
      <c r="L78" s="10" t="str">
        <f t="array" aca="1" ref="L78" ca="1">IFERROR(INDEX(Daten!$AD$2:$AD$741,LARGE((Daten!$B$2:$B$741=Limits!$P$18)*(ROW(Daten!$B$2:$B$741)-1),COUNTIF(Daten!$B$2:$B$741,Limits!$P$18)+1-ROW(Daten!A3))),"")</f>
        <v/>
      </c>
      <c r="M78" s="14" t="str">
        <f t="array" aca="1" ref="M78" ca="1">IFERROR(INDEX(Daten!$AE$2:$AE$741,LARGE((Daten!$B$2:$B$741=Limits!$P$18)*(ROW(Daten!$B$2:$B$741)-1),COUNTIF(Daten!$B$2:$B$741,Limits!$P$18)+1-ROW(Daten!A3))),"")</f>
        <v/>
      </c>
      <c r="N78" s="2" t="str">
        <f t="array" aca="1" ref="N78" ca="1">IFERROR(INDEX(Daten!$AO$2:$AO$741,LARGE((Daten!$B$2:$B$741=Limits!$P$18)*(ROW(Daten!$B$2:$B$741)-1),COUNTIF(Daten!$B$2:$B$741,Limits!$P$18)+1-ROW(Daten!A3))),"")</f>
        <v/>
      </c>
      <c r="O78" s="18" t="str">
        <f t="array" aca="1" ref="O78" ca="1">IFERROR(INDEX(Daten!$AP$2:$AP$741,LARGE((Daten!$B$2:$B$741=Limits!$P$18)*(ROW(Daten!$B$2:$B$741)-1),COUNTIF(Daten!$B$2:$B$741,Limits!$P$18)+1-ROW(Daten!A3))),"")</f>
        <v/>
      </c>
      <c r="P78" t="str">
        <f t="array" aca="1" ref="P78" ca="1">IFERROR(INDEX(Daten!$AS$2:$AS$741,LARGE((Daten!$B$2:$B$741=Limits!$P$18)*(ROW(Daten!$B$2:$B$741)-1),COUNTIF(Daten!$B$2:$B$741,Limits!$P$18)+1-ROW(Daten!A3))),"")</f>
        <v/>
      </c>
      <c r="Q78" t="str">
        <f t="array" aca="1" ref="Q78" ca="1">IFERROR(INDEX(Daten!$AT$2:$AT$741,LARGE((Daten!$B$2:$B$741=Limits!$P$18)*(ROW(Daten!$B$2:$B$741)-1),COUNTIF(Daten!$B$2:$B$741,Limits!$P$18)+1-ROW(Daten!A3))),"")</f>
        <v/>
      </c>
    </row>
    <row r="79" spans="1:18" x14ac:dyDescent="0.25">
      <c r="B79" s="17" t="str">
        <f t="array" aca="1" ref="B79" ca="1">IFERROR(INDEX(Daten!$U$2:$U$741,LARGE((Daten!$B$2:$B$741=Limits!$P$18)*(ROW(Daten!$B$2:$B$741)-1),COUNTIF(Daten!$B$2:$B$741,Limits!$P$18)+1-ROW(Daten!A4))),"")</f>
        <v/>
      </c>
      <c r="C79" s="4"/>
      <c r="D79" s="2" t="str">
        <f t="array" aca="1" ref="D79" ca="1">IFERROR(INDEX(Daten!$AL$2:$AL$741,LARGE((Daten!$B$2:$B$741=Limits!$P$18)*(ROW(Daten!$B$2:$B$741)-1),COUNTIF(Daten!$B$2:$B$741,Limits!$P$18)+1-ROW(Daten!A4))),"")</f>
        <v/>
      </c>
      <c r="E79" s="2" t="str">
        <f t="array" aca="1" ref="E79" ca="1">IFERROR(INDEX(Daten!$AK$2:$AK$741,LARGE((Daten!$B$2:$B$741=Limits!$P$18)*(ROW(Daten!$B$2:$B$741)-1),COUNTIF(Daten!$B$2:$B$741,Limits!$P$18)+1-ROW(Daten!A4))),"")</f>
        <v/>
      </c>
      <c r="F79" s="2" t="str">
        <f t="array" aca="1" ref="F79" ca="1">IFERROR(INDEX(Daten!$AM$2:$AM$741,LARGE((Daten!$B$2:$B$741=Limits!$P$18)*(ROW(Daten!$B$2:$B$741)-1),COUNTIF(Daten!$B$2:$B$741,Limits!$P$18)+1-ROW(Daten!A4))),"")</f>
        <v/>
      </c>
      <c r="G79" s="4"/>
      <c r="H79" s="2" t="str">
        <f t="array" aca="1" ref="H79" ca="1">IFERROR(INDEX(Daten!$AN$2:$AN$741,LARGE((Daten!$B$2:$B$741=Limits!$P$18)*(ROW(Daten!$B$2:$B$741)-1),COUNTIF(Daten!$B$2:$B$741,Limits!$P$18)+1-ROW(Daten!A4))),"")</f>
        <v/>
      </c>
      <c r="I79" s="4"/>
      <c r="J79" s="2" t="str">
        <f t="array" aca="1" ref="J79" ca="1">IFERROR(INDEX(Daten!$AA$2:$AA$741,LARGE((Daten!$B$2:$B$741=Limits!$P$18)*(ROW(Daten!$B$2:$B$741)-1),COUNTIF(Daten!$B$2:$B$741,Limits!$P$18)+1-ROW(Daten!A4))),"")</f>
        <v/>
      </c>
      <c r="K79" s="14" t="str">
        <f t="array" aca="1" ref="K79" ca="1">IFERROR(INDEX(Daten!$AB$2:$AB$741,LARGE((Daten!$B$2:$B$741=Limits!$P$18)*(ROW(Daten!$B$2:$B$741)-1),COUNTIF(Daten!$B$2:$B$741,Limits!$P$18)+1-ROW(Daten!A4))),"")</f>
        <v/>
      </c>
      <c r="L79" s="10" t="str">
        <f t="array" aca="1" ref="L79" ca="1">IFERROR(INDEX(Daten!$AD$2:$AD$741,LARGE((Daten!$B$2:$B$741=Limits!$P$18)*(ROW(Daten!$B$2:$B$741)-1),COUNTIF(Daten!$B$2:$B$741,Limits!$P$18)+1-ROW(Daten!A4))),"")</f>
        <v/>
      </c>
      <c r="M79" s="14" t="str">
        <f t="array" aca="1" ref="M79" ca="1">IFERROR(INDEX(Daten!$AE$2:$AE$741,LARGE((Daten!$B$2:$B$741=Limits!$P$18)*(ROW(Daten!$B$2:$B$741)-1),COUNTIF(Daten!$B$2:$B$741,Limits!$P$18)+1-ROW(Daten!A4))),"")</f>
        <v/>
      </c>
      <c r="N79" s="2" t="str">
        <f t="array" aca="1" ref="N79" ca="1">IFERROR(INDEX(Daten!$AO$2:$AO$741,LARGE((Daten!$B$2:$B$741=Limits!$P$18)*(ROW(Daten!$B$2:$B$741)-1),COUNTIF(Daten!$B$2:$B$741,Limits!$P$18)+1-ROW(Daten!A4))),"")</f>
        <v/>
      </c>
      <c r="O79" s="18" t="str">
        <f t="array" aca="1" ref="O79" ca="1">IFERROR(INDEX(Daten!$AP$2:$AP$741,LARGE((Daten!$B$2:$B$741=Limits!$P$18)*(ROW(Daten!$B$2:$B$741)-1),COUNTIF(Daten!$B$2:$B$741,Limits!$P$18)+1-ROW(Daten!A4))),"")</f>
        <v/>
      </c>
      <c r="P79" t="str">
        <f t="array" aca="1" ref="P79" ca="1">IFERROR(INDEX(Daten!$AS$2:$AS$741,LARGE((Daten!$B$2:$B$741=Limits!$P$18)*(ROW(Daten!$B$2:$B$741)-1),COUNTIF(Daten!$B$2:$B$741,Limits!$P$18)+1-ROW(Daten!A4))),"")</f>
        <v/>
      </c>
      <c r="Q79" t="str">
        <f t="array" aca="1" ref="Q79" ca="1">IFERROR(INDEX(Daten!$AT$2:$AT$741,LARGE((Daten!$B$2:$B$741=Limits!$P$18)*(ROW(Daten!$B$2:$B$741)-1),COUNTIF(Daten!$B$2:$B$741,Limits!$P$18)+1-ROW(Daten!A4))),"")</f>
        <v/>
      </c>
    </row>
    <row r="80" spans="1:18" x14ac:dyDescent="0.25">
      <c r="B80" s="17" t="str">
        <f t="array" aca="1" ref="B80" ca="1">IFERROR(INDEX(Daten!$U$2:$U$741,LARGE((Daten!$B$2:$B$741=Limits!$P$18)*(ROW(Daten!$B$2:$B$741)-1),COUNTIF(Daten!$B$2:$B$741,Limits!$P$18)+1-ROW(Daten!A5))),"")</f>
        <v/>
      </c>
      <c r="C80" s="4"/>
      <c r="D80" s="2" t="str">
        <f t="array" aca="1" ref="D80" ca="1">IFERROR(INDEX(Daten!$AL$2:$AL$741,LARGE((Daten!$B$2:$B$741=Limits!$P$18)*(ROW(Daten!$B$2:$B$741)-1),COUNTIF(Daten!$B$2:$B$741,Limits!$P$18)+1-ROW(Daten!A5))),"")</f>
        <v/>
      </c>
      <c r="E80" s="2" t="str">
        <f t="array" aca="1" ref="E80" ca="1">IFERROR(INDEX(Daten!$AK$2:$AK$741,LARGE((Daten!$B$2:$B$741=Limits!$P$18)*(ROW(Daten!$B$2:$B$741)-1),COUNTIF(Daten!$B$2:$B$741,Limits!$P$18)+1-ROW(Daten!A5))),"")</f>
        <v/>
      </c>
      <c r="F80" s="2" t="str">
        <f t="array" aca="1" ref="F80" ca="1">IFERROR(INDEX(Daten!$AM$2:$AM$741,LARGE((Daten!$B$2:$B$741=Limits!$P$18)*(ROW(Daten!$B$2:$B$741)-1),COUNTIF(Daten!$B$2:$B$741,Limits!$P$18)+1-ROW(Daten!A5))),"")</f>
        <v/>
      </c>
      <c r="G80" s="4"/>
      <c r="H80" s="2" t="str">
        <f t="array" aca="1" ref="H80" ca="1">IFERROR(INDEX(Daten!$AN$2:$AN$741,LARGE((Daten!$B$2:$B$741=Limits!$P$18)*(ROW(Daten!$B$2:$B$741)-1),COUNTIF(Daten!$B$2:$B$741,Limits!$P$18)+1-ROW(Daten!A5))),"")</f>
        <v/>
      </c>
      <c r="I80" s="4"/>
      <c r="J80" s="2" t="str">
        <f t="array" aca="1" ref="J80" ca="1">IFERROR(INDEX(Daten!$AA$2:$AA$741,LARGE((Daten!$B$2:$B$741=Limits!$P$18)*(ROW(Daten!$B$2:$B$741)-1),COUNTIF(Daten!$B$2:$B$741,Limits!$P$18)+1-ROW(Daten!A5))),"")</f>
        <v/>
      </c>
      <c r="K80" s="14" t="str">
        <f t="array" aca="1" ref="K80" ca="1">IFERROR(INDEX(Daten!$AB$2:$AB$741,LARGE((Daten!$B$2:$B$741=Limits!$P$18)*(ROW(Daten!$B$2:$B$741)-1),COUNTIF(Daten!$B$2:$B$741,Limits!$P$18)+1-ROW(Daten!A5))),"")</f>
        <v/>
      </c>
      <c r="L80" s="10" t="str">
        <f t="array" aca="1" ref="L80" ca="1">IFERROR(INDEX(Daten!$AD$2:$AD$741,LARGE((Daten!$B$2:$B$741=Limits!$P$18)*(ROW(Daten!$B$2:$B$741)-1),COUNTIF(Daten!$B$2:$B$741,Limits!$P$18)+1-ROW(Daten!A5))),"")</f>
        <v/>
      </c>
      <c r="M80" s="14" t="str">
        <f t="array" aca="1" ref="M80" ca="1">IFERROR(INDEX(Daten!$AE$2:$AE$741,LARGE((Daten!$B$2:$B$741=Limits!$P$18)*(ROW(Daten!$B$2:$B$741)-1),COUNTIF(Daten!$B$2:$B$741,Limits!$P$18)+1-ROW(Daten!A5))),"")</f>
        <v/>
      </c>
      <c r="N80" s="2" t="str">
        <f t="array" aca="1" ref="N80" ca="1">IFERROR(INDEX(Daten!$AO$2:$AO$741,LARGE((Daten!$B$2:$B$741=Limits!$P$18)*(ROW(Daten!$B$2:$B$741)-1),COUNTIF(Daten!$B$2:$B$741,Limits!$P$18)+1-ROW(Daten!A5))),"")</f>
        <v/>
      </c>
      <c r="O80" s="18" t="str">
        <f t="array" aca="1" ref="O80" ca="1">IFERROR(INDEX(Daten!$AP$2:$AP$741,LARGE((Daten!$B$2:$B$741=Limits!$P$18)*(ROW(Daten!$B$2:$B$741)-1),COUNTIF(Daten!$B$2:$B$741,Limits!$P$18)+1-ROW(Daten!A5))),"")</f>
        <v/>
      </c>
      <c r="P80" t="str">
        <f t="array" aca="1" ref="P80" ca="1">IFERROR(INDEX(Daten!$AS$2:$AS$741,LARGE((Daten!$B$2:$B$741=Limits!$P$18)*(ROW(Daten!$B$2:$B$741)-1),COUNTIF(Daten!$B$2:$B$741,Limits!$P$18)+1-ROW(Daten!A5))),"")</f>
        <v/>
      </c>
      <c r="Q80" t="str">
        <f t="array" aca="1" ref="Q80" ca="1">IFERROR(INDEX(Daten!$AT$2:$AT$741,LARGE((Daten!$B$2:$B$741=Limits!$P$18)*(ROW(Daten!$B$2:$B$741)-1),COUNTIF(Daten!$B$2:$B$741,Limits!$P$18)+1-ROW(Daten!A5))),"")</f>
        <v/>
      </c>
    </row>
    <row r="81" spans="2:17" x14ac:dyDescent="0.25">
      <c r="B81" s="17" t="str">
        <f t="array" aca="1" ref="B81" ca="1">IFERROR(INDEX(Daten!$U$2:$U$741,LARGE((Daten!$B$2:$B$741=Limits!$P$18)*(ROW(Daten!$B$2:$B$741)-1),COUNTIF(Daten!$B$2:$B$741,Limits!$P$18)+1-ROW(Daten!A6))),"")</f>
        <v/>
      </c>
      <c r="C81" s="4"/>
      <c r="D81" s="2" t="str">
        <f t="array" aca="1" ref="D81" ca="1">IFERROR(INDEX(Daten!$AL$2:$AL$741,LARGE((Daten!$B$2:$B$741=Limits!$P$18)*(ROW(Daten!$B$2:$B$741)-1),COUNTIF(Daten!$B$2:$B$741,Limits!$P$18)+1-ROW(Daten!A6))),"")</f>
        <v/>
      </c>
      <c r="E81" s="2" t="str">
        <f t="array" aca="1" ref="E81" ca="1">IFERROR(INDEX(Daten!$AK$2:$AK$741,LARGE((Daten!$B$2:$B$741=Limits!$P$18)*(ROW(Daten!$B$2:$B$741)-1),COUNTIF(Daten!$B$2:$B$741,Limits!$P$18)+1-ROW(Daten!A6))),"")</f>
        <v/>
      </c>
      <c r="F81" s="2" t="str">
        <f t="array" aca="1" ref="F81" ca="1">IFERROR(INDEX(Daten!$AM$2:$AM$741,LARGE((Daten!$B$2:$B$741=Limits!$P$18)*(ROW(Daten!$B$2:$B$741)-1),COUNTIF(Daten!$B$2:$B$741,Limits!$P$18)+1-ROW(Daten!A6))),"")</f>
        <v/>
      </c>
      <c r="G81" s="4"/>
      <c r="H81" s="2" t="str">
        <f t="array" aca="1" ref="H81" ca="1">IFERROR(INDEX(Daten!$AN$2:$AN$741,LARGE((Daten!$B$2:$B$741=Limits!$P$18)*(ROW(Daten!$B$2:$B$741)-1),COUNTIF(Daten!$B$2:$B$741,Limits!$P$18)+1-ROW(Daten!A6))),"")</f>
        <v/>
      </c>
      <c r="I81" s="4"/>
      <c r="J81" s="2" t="str">
        <f t="array" aca="1" ref="J81" ca="1">IFERROR(INDEX(Daten!$AA$2:$AA$741,LARGE((Daten!$B$2:$B$741=Limits!$P$18)*(ROW(Daten!$B$2:$B$741)-1),COUNTIF(Daten!$B$2:$B$741,Limits!$P$18)+1-ROW(Daten!A6))),"")</f>
        <v/>
      </c>
      <c r="K81" s="14" t="str">
        <f t="array" aca="1" ref="K81" ca="1">IFERROR(INDEX(Daten!$AB$2:$AB$741,LARGE((Daten!$B$2:$B$741=Limits!$P$18)*(ROW(Daten!$B$2:$B$741)-1),COUNTIF(Daten!$B$2:$B$741,Limits!$P$18)+1-ROW(Daten!A6))),"")</f>
        <v/>
      </c>
      <c r="L81" s="10" t="str">
        <f t="array" aca="1" ref="L81" ca="1">IFERROR(INDEX(Daten!$AD$2:$AD$741,LARGE((Daten!$B$2:$B$741=Limits!$P$18)*(ROW(Daten!$B$2:$B$741)-1),COUNTIF(Daten!$B$2:$B$741,Limits!$P$18)+1-ROW(Daten!A6))),"")</f>
        <v/>
      </c>
      <c r="M81" s="14" t="str">
        <f t="array" aca="1" ref="M81" ca="1">IFERROR(INDEX(Daten!$AE$2:$AE$741,LARGE((Daten!$B$2:$B$741=Limits!$P$18)*(ROW(Daten!$B$2:$B$741)-1),COUNTIF(Daten!$B$2:$B$741,Limits!$P$18)+1-ROW(Daten!A6))),"")</f>
        <v/>
      </c>
      <c r="N81" s="2" t="str">
        <f t="array" aca="1" ref="N81" ca="1">IFERROR(INDEX(Daten!$AO$2:$AO$741,LARGE((Daten!$B$2:$B$741=Limits!$P$18)*(ROW(Daten!$B$2:$B$741)-1),COUNTIF(Daten!$B$2:$B$741,Limits!$P$18)+1-ROW(Daten!A6))),"")</f>
        <v/>
      </c>
      <c r="O81" s="18" t="str">
        <f t="array" aca="1" ref="O81" ca="1">IFERROR(INDEX(Daten!$AP$2:$AP$741,LARGE((Daten!$B$2:$B$741=Limits!$P$18)*(ROW(Daten!$B$2:$B$741)-1),COUNTIF(Daten!$B$2:$B$741,Limits!$P$18)+1-ROW(Daten!A6))),"")</f>
        <v/>
      </c>
      <c r="P81" t="str">
        <f t="array" aca="1" ref="P81" ca="1">IFERROR(INDEX(Daten!$AS$2:$AS$741,LARGE((Daten!$B$2:$B$741=Limits!$P$18)*(ROW(Daten!$B$2:$B$741)-1),COUNTIF(Daten!$B$2:$B$741,Limits!$P$18)+1-ROW(Daten!A6))),"")</f>
        <v/>
      </c>
      <c r="Q81" t="str">
        <f t="array" aca="1" ref="Q81" ca="1">IFERROR(INDEX(Daten!$AT$2:$AT$741,LARGE((Daten!$B$2:$B$741=Limits!$P$18)*(ROW(Daten!$B$2:$B$741)-1),COUNTIF(Daten!$B$2:$B$741,Limits!$P$18)+1-ROW(Daten!A6))),"")</f>
        <v/>
      </c>
    </row>
    <row r="82" spans="2:17" x14ac:dyDescent="0.25">
      <c r="B82" s="17" t="str">
        <f t="array" aca="1" ref="B82" ca="1">IFERROR(INDEX(Daten!$U$2:$U$741,LARGE((Daten!$B$2:$B$741=Limits!$P$18)*(ROW(Daten!$B$2:$B$741)-1),COUNTIF(Daten!$B$2:$B$741,Limits!$P$18)+1-ROW(Daten!A7))),"")</f>
        <v/>
      </c>
      <c r="C82" s="4"/>
      <c r="D82" s="2" t="str">
        <f t="array" aca="1" ref="D82" ca="1">IFERROR(INDEX(Daten!$AL$2:$AL$741,LARGE((Daten!$B$2:$B$741=Limits!$P$18)*(ROW(Daten!$B$2:$B$741)-1),COUNTIF(Daten!$B$2:$B$741,Limits!$P$18)+1-ROW(Daten!A7))),"")</f>
        <v/>
      </c>
      <c r="E82" s="2" t="str">
        <f t="array" aca="1" ref="E82" ca="1">IFERROR(INDEX(Daten!$AK$2:$AK$741,LARGE((Daten!$B$2:$B$741=Limits!$P$18)*(ROW(Daten!$B$2:$B$741)-1),COUNTIF(Daten!$B$2:$B$741,Limits!$P$18)+1-ROW(Daten!A7))),"")</f>
        <v/>
      </c>
      <c r="F82" s="2" t="str">
        <f t="array" aca="1" ref="F82" ca="1">IFERROR(INDEX(Daten!$AM$2:$AM$741,LARGE((Daten!$B$2:$B$741=Limits!$P$18)*(ROW(Daten!$B$2:$B$741)-1),COUNTIF(Daten!$B$2:$B$741,Limits!$P$18)+1-ROW(Daten!A7))),"")</f>
        <v/>
      </c>
      <c r="G82" s="4"/>
      <c r="H82" s="2" t="str">
        <f t="array" aca="1" ref="H82" ca="1">IFERROR(INDEX(Daten!$AN$2:$AN$741,LARGE((Daten!$B$2:$B$741=Limits!$P$18)*(ROW(Daten!$B$2:$B$741)-1),COUNTIF(Daten!$B$2:$B$741,Limits!$P$18)+1-ROW(Daten!A7))),"")</f>
        <v/>
      </c>
      <c r="I82" s="4"/>
      <c r="J82" s="2" t="str">
        <f t="array" aca="1" ref="J82" ca="1">IFERROR(INDEX(Daten!$AA$2:$AA$741,LARGE((Daten!$B$2:$B$741=Limits!$P$18)*(ROW(Daten!$B$2:$B$741)-1),COUNTIF(Daten!$B$2:$B$741,Limits!$P$18)+1-ROW(Daten!A7))),"")</f>
        <v/>
      </c>
      <c r="K82" s="14" t="str">
        <f t="array" aca="1" ref="K82" ca="1">IFERROR(INDEX(Daten!$AB$2:$AB$741,LARGE((Daten!$B$2:$B$741=Limits!$P$18)*(ROW(Daten!$B$2:$B$741)-1),COUNTIF(Daten!$B$2:$B$741,Limits!$P$18)+1-ROW(Daten!A7))),"")</f>
        <v/>
      </c>
      <c r="L82" s="10" t="str">
        <f t="array" aca="1" ref="L82" ca="1">IFERROR(INDEX(Daten!$AD$2:$AD$741,LARGE((Daten!$B$2:$B$741=Limits!$P$18)*(ROW(Daten!$B$2:$B$741)-1),COUNTIF(Daten!$B$2:$B$741,Limits!$P$18)+1-ROW(Daten!A7))),"")</f>
        <v/>
      </c>
      <c r="M82" s="14" t="str">
        <f t="array" aca="1" ref="M82" ca="1">IFERROR(INDEX(Daten!$AE$2:$AE$741,LARGE((Daten!$B$2:$B$741=Limits!$P$18)*(ROW(Daten!$B$2:$B$741)-1),COUNTIF(Daten!$B$2:$B$741,Limits!$P$18)+1-ROW(Daten!A7))),"")</f>
        <v/>
      </c>
      <c r="N82" s="2" t="str">
        <f t="array" aca="1" ref="N82" ca="1">IFERROR(INDEX(Daten!$AO$2:$AO$741,LARGE((Daten!$B$2:$B$741=Limits!$P$18)*(ROW(Daten!$B$2:$B$741)-1),COUNTIF(Daten!$B$2:$B$741,Limits!$P$18)+1-ROW(Daten!A7))),"")</f>
        <v/>
      </c>
      <c r="O82" s="18" t="str">
        <f t="array" aca="1" ref="O82" ca="1">IFERROR(INDEX(Daten!$AP$2:$AP$741,LARGE((Daten!$B$2:$B$741=Limits!$P$18)*(ROW(Daten!$B$2:$B$741)-1),COUNTIF(Daten!$B$2:$B$741,Limits!$P$18)+1-ROW(Daten!A7))),"")</f>
        <v/>
      </c>
      <c r="P82" t="str">
        <f t="array" aca="1" ref="P82" ca="1">IFERROR(INDEX(Daten!$AS$2:$AS$741,LARGE((Daten!$B$2:$B$741=Limits!$P$18)*(ROW(Daten!$B$2:$B$741)-1),COUNTIF(Daten!$B$2:$B$741,Limits!$P$18)+1-ROW(Daten!A7))),"")</f>
        <v/>
      </c>
      <c r="Q82" t="str">
        <f t="array" aca="1" ref="Q82" ca="1">IFERROR(INDEX(Daten!$AT$2:$AT$741,LARGE((Daten!$B$2:$B$741=Limits!$P$18)*(ROW(Daten!$B$2:$B$741)-1),COUNTIF(Daten!$B$2:$B$741,Limits!$P$18)+1-ROW(Daten!A7))),"")</f>
        <v/>
      </c>
    </row>
    <row r="83" spans="2:17" x14ac:dyDescent="0.25">
      <c r="B83" s="17" t="str">
        <f t="array" aca="1" ref="B83" ca="1">IFERROR(INDEX(Daten!$U$2:$U$741,LARGE((Daten!$B$2:$B$741=Limits!$P$18)*(ROW(Daten!$B$2:$B$741)-1),COUNTIF(Daten!$B$2:$B$741,Limits!$P$18)+1-ROW(Daten!A8))),"")</f>
        <v/>
      </c>
      <c r="C83" s="4"/>
      <c r="D83" s="2" t="str">
        <f t="array" aca="1" ref="D83" ca="1">IFERROR(INDEX(Daten!$AL$2:$AL$741,LARGE((Daten!$B$2:$B$741=Limits!$P$18)*(ROW(Daten!$B$2:$B$741)-1),COUNTIF(Daten!$B$2:$B$741,Limits!$P$18)+1-ROW(Daten!A8))),"")</f>
        <v/>
      </c>
      <c r="E83" s="2" t="str">
        <f t="array" aca="1" ref="E83" ca="1">IFERROR(INDEX(Daten!$AK$2:$AK$741,LARGE((Daten!$B$2:$B$741=Limits!$P$18)*(ROW(Daten!$B$2:$B$741)-1),COUNTIF(Daten!$B$2:$B$741,Limits!$P$18)+1-ROW(Daten!A8))),"")</f>
        <v/>
      </c>
      <c r="F83" s="2" t="str">
        <f t="array" aca="1" ref="F83" ca="1">IFERROR(INDEX(Daten!$AM$2:$AM$741,LARGE((Daten!$B$2:$B$741=Limits!$P$18)*(ROW(Daten!$B$2:$B$741)-1),COUNTIF(Daten!$B$2:$B$741,Limits!$P$18)+1-ROW(Daten!A8))),"")</f>
        <v/>
      </c>
      <c r="G83" s="4"/>
      <c r="H83" s="2" t="str">
        <f t="array" aca="1" ref="H83" ca="1">IFERROR(INDEX(Daten!$AN$2:$AN$741,LARGE((Daten!$B$2:$B$741=Limits!$P$18)*(ROW(Daten!$B$2:$B$741)-1),COUNTIF(Daten!$B$2:$B$741,Limits!$P$18)+1-ROW(Daten!A8))),"")</f>
        <v/>
      </c>
      <c r="I83" s="4"/>
      <c r="J83" s="2" t="str">
        <f t="array" aca="1" ref="J83" ca="1">IFERROR(INDEX(Daten!$AA$2:$AA$741,LARGE((Daten!$B$2:$B$741=Limits!$P$18)*(ROW(Daten!$B$2:$B$741)-1),COUNTIF(Daten!$B$2:$B$741,Limits!$P$18)+1-ROW(Daten!A8))),"")</f>
        <v/>
      </c>
      <c r="K83" s="14" t="str">
        <f t="array" aca="1" ref="K83" ca="1">IFERROR(INDEX(Daten!$AB$2:$AB$741,LARGE((Daten!$B$2:$B$741=Limits!$P$18)*(ROW(Daten!$B$2:$B$741)-1),COUNTIF(Daten!$B$2:$B$741,Limits!$P$18)+1-ROW(Daten!A8))),"")</f>
        <v/>
      </c>
      <c r="L83" s="10" t="str">
        <f t="array" aca="1" ref="L83" ca="1">IFERROR(INDEX(Daten!$AD$2:$AD$741,LARGE((Daten!$B$2:$B$741=Limits!$P$18)*(ROW(Daten!$B$2:$B$741)-1),COUNTIF(Daten!$B$2:$B$741,Limits!$P$18)+1-ROW(Daten!A8))),"")</f>
        <v/>
      </c>
      <c r="M83" s="14" t="str">
        <f t="array" aca="1" ref="M83" ca="1">IFERROR(INDEX(Daten!$AE$2:$AE$741,LARGE((Daten!$B$2:$B$741=Limits!$P$18)*(ROW(Daten!$B$2:$B$741)-1),COUNTIF(Daten!$B$2:$B$741,Limits!$P$18)+1-ROW(Daten!A8))),"")</f>
        <v/>
      </c>
      <c r="N83" s="2" t="str">
        <f t="array" aca="1" ref="N83" ca="1">IFERROR(INDEX(Daten!$AO$2:$AO$741,LARGE((Daten!$B$2:$B$741=Limits!$P$18)*(ROW(Daten!$B$2:$B$741)-1),COUNTIF(Daten!$B$2:$B$741,Limits!$P$18)+1-ROW(Daten!A8))),"")</f>
        <v/>
      </c>
      <c r="O83" s="18" t="str">
        <f t="array" aca="1" ref="O83" ca="1">IFERROR(INDEX(Daten!$AP$2:$AP$741,LARGE((Daten!$B$2:$B$741=Limits!$P$18)*(ROW(Daten!$B$2:$B$741)-1),COUNTIF(Daten!$B$2:$B$741,Limits!$P$18)+1-ROW(Daten!A8))),"")</f>
        <v/>
      </c>
      <c r="P83" t="str">
        <f t="array" aca="1" ref="P83" ca="1">IFERROR(INDEX(Daten!$AS$2:$AS$741,LARGE((Daten!$B$2:$B$741=Limits!$P$18)*(ROW(Daten!$B$2:$B$741)-1),COUNTIF(Daten!$B$2:$B$741,Limits!$P$18)+1-ROW(Daten!A8))),"")</f>
        <v/>
      </c>
      <c r="Q83" t="str">
        <f t="array" aca="1" ref="Q83" ca="1">IFERROR(INDEX(Daten!$AT$2:$AT$741,LARGE((Daten!$B$2:$B$741=Limits!$P$18)*(ROW(Daten!$B$2:$B$741)-1),COUNTIF(Daten!$B$2:$B$741,Limits!$P$18)+1-ROW(Daten!A8))),"")</f>
        <v/>
      </c>
    </row>
    <row r="84" spans="2:17" x14ac:dyDescent="0.25">
      <c r="B84" s="17" t="str">
        <f t="array" aca="1" ref="B84" ca="1">IFERROR(INDEX(Daten!$U$2:$U$741,LARGE((Daten!$B$2:$B$741=Limits!$P$18)*(ROW(Daten!$B$2:$B$741)-1),COUNTIF(Daten!$B$2:$B$741,Limits!$P$18)+1-ROW(Daten!A9))),"")</f>
        <v/>
      </c>
      <c r="C84" s="4"/>
      <c r="D84" s="2" t="str">
        <f t="array" aca="1" ref="D84" ca="1">IFERROR(INDEX(Daten!$AL$2:$AL$741,LARGE((Daten!$B$2:$B$741=Limits!$P$18)*(ROW(Daten!$B$2:$B$741)-1),COUNTIF(Daten!$B$2:$B$741,Limits!$P$18)+1-ROW(Daten!A9))),"")</f>
        <v/>
      </c>
      <c r="E84" s="2" t="str">
        <f t="array" aca="1" ref="E84" ca="1">IFERROR(INDEX(Daten!$AK$2:$AK$741,LARGE((Daten!$B$2:$B$741=Limits!$P$18)*(ROW(Daten!$B$2:$B$741)-1),COUNTIF(Daten!$B$2:$B$741,Limits!$P$18)+1-ROW(Daten!A9))),"")</f>
        <v/>
      </c>
      <c r="F84" s="2" t="str">
        <f t="array" aca="1" ref="F84" ca="1">IFERROR(INDEX(Daten!$AM$2:$AM$741,LARGE((Daten!$B$2:$B$741=Limits!$P$18)*(ROW(Daten!$B$2:$B$741)-1),COUNTIF(Daten!$B$2:$B$741,Limits!$P$18)+1-ROW(Daten!A9))),"")</f>
        <v/>
      </c>
      <c r="G84" s="4"/>
      <c r="H84" s="2" t="str">
        <f t="array" aca="1" ref="H84" ca="1">IFERROR(INDEX(Daten!$AN$2:$AN$741,LARGE((Daten!$B$2:$B$741=Limits!$P$18)*(ROW(Daten!$B$2:$B$741)-1),COUNTIF(Daten!$B$2:$B$741,Limits!$P$18)+1-ROW(Daten!A9))),"")</f>
        <v/>
      </c>
      <c r="I84" s="4"/>
      <c r="J84" s="2" t="str">
        <f t="array" aca="1" ref="J84" ca="1">IFERROR(INDEX(Daten!$AA$2:$AA$741,LARGE((Daten!$B$2:$B$741=Limits!$P$18)*(ROW(Daten!$B$2:$B$741)-1),COUNTIF(Daten!$B$2:$B$741,Limits!$P$18)+1-ROW(Daten!A9))),"")</f>
        <v/>
      </c>
      <c r="K84" s="14" t="str">
        <f t="array" aca="1" ref="K84" ca="1">IFERROR(INDEX(Daten!$AB$2:$AB$741,LARGE((Daten!$B$2:$B$741=Limits!$P$18)*(ROW(Daten!$B$2:$B$741)-1),COUNTIF(Daten!$B$2:$B$741,Limits!$P$18)+1-ROW(Daten!A9))),"")</f>
        <v/>
      </c>
      <c r="L84" s="10" t="str">
        <f t="array" aca="1" ref="L84" ca="1">IFERROR(INDEX(Daten!$AD$2:$AD$741,LARGE((Daten!$B$2:$B$741=Limits!$P$18)*(ROW(Daten!$B$2:$B$741)-1),COUNTIF(Daten!$B$2:$B$741,Limits!$P$18)+1-ROW(Daten!A9))),"")</f>
        <v/>
      </c>
      <c r="M84" s="14" t="str">
        <f t="array" aca="1" ref="M84" ca="1">IFERROR(INDEX(Daten!$AE$2:$AE$741,LARGE((Daten!$B$2:$B$741=Limits!$P$18)*(ROW(Daten!$B$2:$B$741)-1),COUNTIF(Daten!$B$2:$B$741,Limits!$P$18)+1-ROW(Daten!A9))),"")</f>
        <v/>
      </c>
      <c r="N84" s="2" t="str">
        <f t="array" aca="1" ref="N84" ca="1">IFERROR(INDEX(Daten!$AO$2:$AO$741,LARGE((Daten!$B$2:$B$741=Limits!$P$18)*(ROW(Daten!$B$2:$B$741)-1),COUNTIF(Daten!$B$2:$B$741,Limits!$P$18)+1-ROW(Daten!A9))),"")</f>
        <v/>
      </c>
      <c r="O84" s="18" t="str">
        <f t="array" aca="1" ref="O84" ca="1">IFERROR(INDEX(Daten!$AP$2:$AP$741,LARGE((Daten!$B$2:$B$741=Limits!$P$18)*(ROW(Daten!$B$2:$B$741)-1),COUNTIF(Daten!$B$2:$B$741,Limits!$P$18)+1-ROW(Daten!A9))),"")</f>
        <v/>
      </c>
      <c r="P84" t="str">
        <f t="array" aca="1" ref="P84" ca="1">IFERROR(INDEX(Daten!$AS$2:$AS$741,LARGE((Daten!$B$2:$B$741=Limits!$P$18)*(ROW(Daten!$B$2:$B$741)-1),COUNTIF(Daten!$B$2:$B$741,Limits!$P$18)+1-ROW(Daten!A9))),"")</f>
        <v/>
      </c>
      <c r="Q84" t="str">
        <f t="array" aca="1" ref="Q84" ca="1">IFERROR(INDEX(Daten!$AT$2:$AT$741,LARGE((Daten!$B$2:$B$741=Limits!$P$18)*(ROW(Daten!$B$2:$B$741)-1),COUNTIF(Daten!$B$2:$B$741,Limits!$P$18)+1-ROW(Daten!A9))),"")</f>
        <v/>
      </c>
    </row>
    <row r="85" spans="2:17" x14ac:dyDescent="0.25">
      <c r="B85" s="17" t="str">
        <f t="array" aca="1" ref="B85" ca="1">IFERROR(INDEX(Daten!$U$2:$U$741,LARGE((Daten!$B$2:$B$741=Limits!$P$18)*(ROW(Daten!$B$2:$B$741)-1),COUNTIF(Daten!$B$2:$B$741,Limits!$P$18)+1-ROW(Daten!A10))),"")</f>
        <v/>
      </c>
      <c r="C85" s="4"/>
      <c r="D85" s="2" t="str">
        <f t="array" aca="1" ref="D85" ca="1">IFERROR(INDEX(Daten!$AL$2:$AL$741,LARGE((Daten!$B$2:$B$741=Limits!$P$18)*(ROW(Daten!$B$2:$B$741)-1),COUNTIF(Daten!$B$2:$B$741,Limits!$P$18)+1-ROW(Daten!A10))),"")</f>
        <v/>
      </c>
      <c r="E85" s="2" t="str">
        <f t="array" aca="1" ref="E85" ca="1">IFERROR(INDEX(Daten!$AK$2:$AK$741,LARGE((Daten!$B$2:$B$741=Limits!$P$18)*(ROW(Daten!$B$2:$B$741)-1),COUNTIF(Daten!$B$2:$B$741,Limits!$P$18)+1-ROW(Daten!A10))),"")</f>
        <v/>
      </c>
      <c r="F85" s="2" t="str">
        <f t="array" aca="1" ref="F85" ca="1">IFERROR(INDEX(Daten!$AM$2:$AM$741,LARGE((Daten!$B$2:$B$741=Limits!$P$18)*(ROW(Daten!$B$2:$B$741)-1),COUNTIF(Daten!$B$2:$B$741,Limits!$P$18)+1-ROW(Daten!A10))),"")</f>
        <v/>
      </c>
      <c r="G85" s="4"/>
      <c r="H85" s="2" t="str">
        <f t="array" aca="1" ref="H85" ca="1">IFERROR(INDEX(Daten!$AN$2:$AN$741,LARGE((Daten!$B$2:$B$741=Limits!$P$18)*(ROW(Daten!$B$2:$B$741)-1),COUNTIF(Daten!$B$2:$B$741,Limits!$P$18)+1-ROW(Daten!A10))),"")</f>
        <v/>
      </c>
      <c r="I85" s="4"/>
      <c r="J85" s="2" t="str">
        <f t="array" aca="1" ref="J85" ca="1">IFERROR(INDEX(Daten!$AA$2:$AA$741,LARGE((Daten!$B$2:$B$741=Limits!$P$18)*(ROW(Daten!$B$2:$B$741)-1),COUNTIF(Daten!$B$2:$B$741,Limits!$P$18)+1-ROW(Daten!A10))),"")</f>
        <v/>
      </c>
      <c r="K85" s="14" t="str">
        <f t="array" aca="1" ref="K85" ca="1">IFERROR(INDEX(Daten!$AB$2:$AB$741,LARGE((Daten!$B$2:$B$741=Limits!$P$18)*(ROW(Daten!$B$2:$B$741)-1),COUNTIF(Daten!$B$2:$B$741,Limits!$P$18)+1-ROW(Daten!A10))),"")</f>
        <v/>
      </c>
      <c r="L85" s="10" t="str">
        <f t="array" aca="1" ref="L85" ca="1">IFERROR(INDEX(Daten!$AD$2:$AD$741,LARGE((Daten!$B$2:$B$741=Limits!$P$18)*(ROW(Daten!$B$2:$B$741)-1),COUNTIF(Daten!$B$2:$B$741,Limits!$P$18)+1-ROW(Daten!A10))),"")</f>
        <v/>
      </c>
      <c r="M85" s="14" t="str">
        <f t="array" aca="1" ref="M85" ca="1">IFERROR(INDEX(Daten!$AE$2:$AE$741,LARGE((Daten!$B$2:$B$741=Limits!$P$18)*(ROW(Daten!$B$2:$B$741)-1),COUNTIF(Daten!$B$2:$B$741,Limits!$P$18)+1-ROW(Daten!A10))),"")</f>
        <v/>
      </c>
      <c r="N85" s="2" t="str">
        <f t="array" aca="1" ref="N85" ca="1">IFERROR(INDEX(Daten!$AO$2:$AO$741,LARGE((Daten!$B$2:$B$741=Limits!$P$18)*(ROW(Daten!$B$2:$B$741)-1),COUNTIF(Daten!$B$2:$B$741,Limits!$P$18)+1-ROW(Daten!A10))),"")</f>
        <v/>
      </c>
      <c r="O85" s="18" t="str">
        <f t="array" aca="1" ref="O85" ca="1">IFERROR(INDEX(Daten!$AP$2:$AP$741,LARGE((Daten!$B$2:$B$741=Limits!$P$18)*(ROW(Daten!$B$2:$B$741)-1),COUNTIF(Daten!$B$2:$B$741,Limits!$P$18)+1-ROW(Daten!A10))),"")</f>
        <v/>
      </c>
      <c r="P85" t="str">
        <f t="array" aca="1" ref="P85" ca="1">IFERROR(INDEX(Daten!$AS$2:$AS$741,LARGE((Daten!$B$2:$B$741=Limits!$P$18)*(ROW(Daten!$B$2:$B$741)-1),COUNTIF(Daten!$B$2:$B$741,Limits!$P$18)+1-ROW(Daten!A10))),"")</f>
        <v/>
      </c>
      <c r="Q85" t="str">
        <f t="array" aca="1" ref="Q85" ca="1">IFERROR(INDEX(Daten!$AT$2:$AT$741,LARGE((Daten!$B$2:$B$741=Limits!$P$18)*(ROW(Daten!$B$2:$B$741)-1),COUNTIF(Daten!$B$2:$B$741,Limits!$P$18)+1-ROW(Daten!A10))),"")</f>
        <v/>
      </c>
    </row>
    <row r="86" spans="2:17" x14ac:dyDescent="0.25">
      <c r="B86" s="17" t="str">
        <f t="array" aca="1" ref="B86" ca="1">IFERROR(INDEX(Daten!$U$2:$U$741,LARGE((Daten!$B$2:$B$741=Limits!$P$18)*(ROW(Daten!$B$2:$B$741)-1),COUNTIF(Daten!$B$2:$B$741,Limits!$P$18)+1-ROW(Daten!A11))),"")</f>
        <v/>
      </c>
      <c r="C86" s="4"/>
      <c r="D86" s="2" t="str">
        <f t="array" aca="1" ref="D86" ca="1">IFERROR(INDEX(Daten!$AL$2:$AL$741,LARGE((Daten!$B$2:$B$741=Limits!$P$18)*(ROW(Daten!$B$2:$B$741)-1),COUNTIF(Daten!$B$2:$B$741,Limits!$P$18)+1-ROW(Daten!A11))),"")</f>
        <v/>
      </c>
      <c r="E86" s="2" t="str">
        <f t="array" aca="1" ref="E86" ca="1">IFERROR(INDEX(Daten!$AK$2:$AK$741,LARGE((Daten!$B$2:$B$741=Limits!$P$18)*(ROW(Daten!$B$2:$B$741)-1),COUNTIF(Daten!$B$2:$B$741,Limits!$P$18)+1-ROW(Daten!A11))),"")</f>
        <v/>
      </c>
      <c r="F86" s="2" t="str">
        <f t="array" aca="1" ref="F86" ca="1">IFERROR(INDEX(Daten!$AM$2:$AM$741,LARGE((Daten!$B$2:$B$741=Limits!$P$18)*(ROW(Daten!$B$2:$B$741)-1),COUNTIF(Daten!$B$2:$B$741,Limits!$P$18)+1-ROW(Daten!A11))),"")</f>
        <v/>
      </c>
      <c r="G86" s="4"/>
      <c r="H86" s="2" t="str">
        <f t="array" aca="1" ref="H86" ca="1">IFERROR(INDEX(Daten!$AN$2:$AN$741,LARGE((Daten!$B$2:$B$741=Limits!$P$18)*(ROW(Daten!$B$2:$B$741)-1),COUNTIF(Daten!$B$2:$B$741,Limits!$P$18)+1-ROW(Daten!A11))),"")</f>
        <v/>
      </c>
      <c r="I86" s="4"/>
      <c r="J86" s="2" t="str">
        <f t="array" aca="1" ref="J86" ca="1">IFERROR(INDEX(Daten!$AA$2:$AA$741,LARGE((Daten!$B$2:$B$741=Limits!$P$18)*(ROW(Daten!$B$2:$B$741)-1),COUNTIF(Daten!$B$2:$B$741,Limits!$P$18)+1-ROW(Daten!A11))),"")</f>
        <v/>
      </c>
      <c r="K86" s="14" t="str">
        <f t="array" aca="1" ref="K86" ca="1">IFERROR(INDEX(Daten!$AB$2:$AB$741,LARGE((Daten!$B$2:$B$741=Limits!$P$18)*(ROW(Daten!$B$2:$B$741)-1),COUNTIF(Daten!$B$2:$B$741,Limits!$P$18)+1-ROW(Daten!A11))),"")</f>
        <v/>
      </c>
      <c r="L86" s="10" t="str">
        <f t="array" aca="1" ref="L86" ca="1">IFERROR(INDEX(Daten!$AD$2:$AD$741,LARGE((Daten!$B$2:$B$741=Limits!$P$18)*(ROW(Daten!$B$2:$B$741)-1),COUNTIF(Daten!$B$2:$B$741,Limits!$P$18)+1-ROW(Daten!A11))),"")</f>
        <v/>
      </c>
      <c r="M86" s="14" t="str">
        <f t="array" aca="1" ref="M86" ca="1">IFERROR(INDEX(Daten!$AE$2:$AE$741,LARGE((Daten!$B$2:$B$741=Limits!$P$18)*(ROW(Daten!$B$2:$B$741)-1),COUNTIF(Daten!$B$2:$B$741,Limits!$P$18)+1-ROW(Daten!A11))),"")</f>
        <v/>
      </c>
      <c r="N86" s="2" t="str">
        <f t="array" aca="1" ref="N86" ca="1">IFERROR(INDEX(Daten!$AO$2:$AO$741,LARGE((Daten!$B$2:$B$741=Limits!$P$18)*(ROW(Daten!$B$2:$B$741)-1),COUNTIF(Daten!$B$2:$B$741,Limits!$P$18)+1-ROW(Daten!A11))),"")</f>
        <v/>
      </c>
      <c r="O86" s="18" t="str">
        <f t="array" aca="1" ref="O86" ca="1">IFERROR(INDEX(Daten!$AP$2:$AP$741,LARGE((Daten!$B$2:$B$741=Limits!$P$18)*(ROW(Daten!$B$2:$B$741)-1),COUNTIF(Daten!$B$2:$B$741,Limits!$P$18)+1-ROW(Daten!A11))),"")</f>
        <v/>
      </c>
      <c r="P86" t="str">
        <f t="array" aca="1" ref="P86" ca="1">IFERROR(INDEX(Daten!$AS$2:$AS$741,LARGE((Daten!$B$2:$B$741=Limits!$P$18)*(ROW(Daten!$B$2:$B$741)-1),COUNTIF(Daten!$B$2:$B$741,Limits!$P$18)+1-ROW(Daten!A11))),"")</f>
        <v/>
      </c>
      <c r="Q86" t="str">
        <f t="array" aca="1" ref="Q86" ca="1">IFERROR(INDEX(Daten!$AT$2:$AT$741,LARGE((Daten!$B$2:$B$741=Limits!$P$18)*(ROW(Daten!$B$2:$B$741)-1),COUNTIF(Daten!$B$2:$B$741,Limits!$P$18)+1-ROW(Daten!A11))),"")</f>
        <v/>
      </c>
    </row>
    <row r="87" spans="2:17" x14ac:dyDescent="0.25">
      <c r="B87" s="17" t="str">
        <f t="array" aca="1" ref="B87" ca="1">IFERROR(INDEX(Daten!$U$2:$U$741,LARGE((Daten!$B$2:$B$741=Limits!$P$18)*(ROW(Daten!$B$2:$B$741)-1),COUNTIF(Daten!$B$2:$B$741,Limits!$P$18)+1-ROW(Daten!A12))),"")</f>
        <v/>
      </c>
      <c r="C87" s="4"/>
      <c r="D87" s="2" t="str">
        <f t="array" aca="1" ref="D87" ca="1">IFERROR(INDEX(Daten!$AL$2:$AL$741,LARGE((Daten!$B$2:$B$741=Limits!$P$18)*(ROW(Daten!$B$2:$B$741)-1),COUNTIF(Daten!$B$2:$B$741,Limits!$P$18)+1-ROW(Daten!A12))),"")</f>
        <v/>
      </c>
      <c r="E87" s="2" t="str">
        <f t="array" aca="1" ref="E87" ca="1">IFERROR(INDEX(Daten!$AK$2:$AK$741,LARGE((Daten!$B$2:$B$741=Limits!$P$18)*(ROW(Daten!$B$2:$B$741)-1),COUNTIF(Daten!$B$2:$B$741,Limits!$P$18)+1-ROW(Daten!A12))),"")</f>
        <v/>
      </c>
      <c r="F87" s="2" t="str">
        <f t="array" aca="1" ref="F87" ca="1">IFERROR(INDEX(Daten!$AM$2:$AM$741,LARGE((Daten!$B$2:$B$741=Limits!$P$18)*(ROW(Daten!$B$2:$B$741)-1),COUNTIF(Daten!$B$2:$B$741,Limits!$P$18)+1-ROW(Daten!A12))),"")</f>
        <v/>
      </c>
      <c r="G87" s="4"/>
      <c r="H87" s="2" t="str">
        <f t="array" aca="1" ref="H87" ca="1">IFERROR(INDEX(Daten!$AN$2:$AN$741,LARGE((Daten!$B$2:$B$741=Limits!$P$18)*(ROW(Daten!$B$2:$B$741)-1),COUNTIF(Daten!$B$2:$B$741,Limits!$P$18)+1-ROW(Daten!A12))),"")</f>
        <v/>
      </c>
      <c r="I87" s="4"/>
      <c r="J87" s="2" t="str">
        <f t="array" aca="1" ref="J87" ca="1">IFERROR(INDEX(Daten!$AA$2:$AA$741,LARGE((Daten!$B$2:$B$741=Limits!$P$18)*(ROW(Daten!$B$2:$B$741)-1),COUNTIF(Daten!$B$2:$B$741,Limits!$P$18)+1-ROW(Daten!A12))),"")</f>
        <v/>
      </c>
      <c r="K87" s="14" t="str">
        <f t="array" aca="1" ref="K87" ca="1">IFERROR(INDEX(Daten!$AB$2:$AB$741,LARGE((Daten!$B$2:$B$741=Limits!$P$18)*(ROW(Daten!$B$2:$B$741)-1),COUNTIF(Daten!$B$2:$B$741,Limits!$P$18)+1-ROW(Daten!A12))),"")</f>
        <v/>
      </c>
      <c r="L87" s="10" t="str">
        <f t="array" aca="1" ref="L87" ca="1">IFERROR(INDEX(Daten!$AD$2:$AD$741,LARGE((Daten!$B$2:$B$741=Limits!$P$18)*(ROW(Daten!$B$2:$B$741)-1),COUNTIF(Daten!$B$2:$B$741,Limits!$P$18)+1-ROW(Daten!A12))),"")</f>
        <v/>
      </c>
      <c r="M87" s="14" t="str">
        <f t="array" aca="1" ref="M87" ca="1">IFERROR(INDEX(Daten!$AE$2:$AE$741,LARGE((Daten!$B$2:$B$741=Limits!$P$18)*(ROW(Daten!$B$2:$B$741)-1),COUNTIF(Daten!$B$2:$B$741,Limits!$P$18)+1-ROW(Daten!A12))),"")</f>
        <v/>
      </c>
      <c r="N87" s="2" t="str">
        <f t="array" aca="1" ref="N87" ca="1">IFERROR(INDEX(Daten!$AO$2:$AO$741,LARGE((Daten!$B$2:$B$741=Limits!$P$18)*(ROW(Daten!$B$2:$B$741)-1),COUNTIF(Daten!$B$2:$B$741,Limits!$P$18)+1-ROW(Daten!A12))),"")</f>
        <v/>
      </c>
      <c r="O87" s="18" t="str">
        <f t="array" aca="1" ref="O87" ca="1">IFERROR(INDEX(Daten!$AP$2:$AP$741,LARGE((Daten!$B$2:$B$741=Limits!$P$18)*(ROW(Daten!$B$2:$B$741)-1),COUNTIF(Daten!$B$2:$B$741,Limits!$P$18)+1-ROW(Daten!A12))),"")</f>
        <v/>
      </c>
      <c r="P87" t="str">
        <f t="array" aca="1" ref="P87" ca="1">IFERROR(INDEX(Daten!$AS$2:$AS$741,LARGE((Daten!$B$2:$B$741=Limits!$P$18)*(ROW(Daten!$B$2:$B$741)-1),COUNTIF(Daten!$B$2:$B$741,Limits!$P$18)+1-ROW(Daten!A12))),"")</f>
        <v/>
      </c>
      <c r="Q87" t="str">
        <f t="array" aca="1" ref="Q87" ca="1">IFERROR(INDEX(Daten!$AT$2:$AT$741,LARGE((Daten!$B$2:$B$741=Limits!$P$18)*(ROW(Daten!$B$2:$B$741)-1),COUNTIF(Daten!$B$2:$B$741,Limits!$P$18)+1-ROW(Daten!A12))),"")</f>
        <v/>
      </c>
    </row>
    <row r="88" spans="2:17" x14ac:dyDescent="0.25">
      <c r="B88" s="17" t="str">
        <f t="array" aca="1" ref="B88" ca="1">IFERROR(INDEX(Daten!$U$2:$U$741,LARGE((Daten!$B$2:$B$741=Limits!$P$18)*(ROW(Daten!$B$2:$B$741)-1),COUNTIF(Daten!$B$2:$B$741,Limits!$P$18)+1-ROW(Daten!A13))),"")</f>
        <v/>
      </c>
      <c r="C88" s="4"/>
      <c r="D88" s="2" t="str">
        <f t="array" aca="1" ref="D88" ca="1">IFERROR(INDEX(Daten!$AL$2:$AL$741,LARGE((Daten!$B$2:$B$741=Limits!$P$18)*(ROW(Daten!$B$2:$B$741)-1),COUNTIF(Daten!$B$2:$B$741,Limits!$P$18)+1-ROW(Daten!A13))),"")</f>
        <v/>
      </c>
      <c r="E88" s="2" t="str">
        <f t="array" aca="1" ref="E88" ca="1">IFERROR(INDEX(Daten!$AK$2:$AK$741,LARGE((Daten!$B$2:$B$741=Limits!$P$18)*(ROW(Daten!$B$2:$B$741)-1),COUNTIF(Daten!$B$2:$B$741,Limits!$P$18)+1-ROW(Daten!A13))),"")</f>
        <v/>
      </c>
      <c r="F88" s="2" t="str">
        <f t="array" aca="1" ref="F88" ca="1">IFERROR(INDEX(Daten!$AM$2:$AM$741,LARGE((Daten!$B$2:$B$741=Limits!$P$18)*(ROW(Daten!$B$2:$B$741)-1),COUNTIF(Daten!$B$2:$B$741,Limits!$P$18)+1-ROW(Daten!A13))),"")</f>
        <v/>
      </c>
      <c r="G88" s="4"/>
      <c r="H88" s="2" t="str">
        <f t="array" aca="1" ref="H88" ca="1">IFERROR(INDEX(Daten!$AN$2:$AN$741,LARGE((Daten!$B$2:$B$741=Limits!$P$18)*(ROW(Daten!$B$2:$B$741)-1),COUNTIF(Daten!$B$2:$B$741,Limits!$P$18)+1-ROW(Daten!A13))),"")</f>
        <v/>
      </c>
      <c r="I88" s="4"/>
      <c r="J88" s="2" t="str">
        <f t="array" aca="1" ref="J88" ca="1">IFERROR(INDEX(Daten!$AA$2:$AA$741,LARGE((Daten!$B$2:$B$741=Limits!$P$18)*(ROW(Daten!$B$2:$B$741)-1),COUNTIF(Daten!$B$2:$B$741,Limits!$P$18)+1-ROW(Daten!A13))),"")</f>
        <v/>
      </c>
      <c r="K88" s="14" t="str">
        <f t="array" aca="1" ref="K88" ca="1">IFERROR(INDEX(Daten!$AB$2:$AB$741,LARGE((Daten!$B$2:$B$741=Limits!$P$18)*(ROW(Daten!$B$2:$B$741)-1),COUNTIF(Daten!$B$2:$B$741,Limits!$P$18)+1-ROW(Daten!A13))),"")</f>
        <v/>
      </c>
      <c r="L88" s="10" t="str">
        <f t="array" aca="1" ref="L88" ca="1">IFERROR(INDEX(Daten!$AD$2:$AD$741,LARGE((Daten!$B$2:$B$741=Limits!$P$18)*(ROW(Daten!$B$2:$B$741)-1),COUNTIF(Daten!$B$2:$B$741,Limits!$P$18)+1-ROW(Daten!A13))),"")</f>
        <v/>
      </c>
      <c r="M88" s="14" t="str">
        <f t="array" aca="1" ref="M88" ca="1">IFERROR(INDEX(Daten!$AE$2:$AE$741,LARGE((Daten!$B$2:$B$741=Limits!$P$18)*(ROW(Daten!$B$2:$B$741)-1),COUNTIF(Daten!$B$2:$B$741,Limits!$P$18)+1-ROW(Daten!A13))),"")</f>
        <v/>
      </c>
      <c r="N88" s="2" t="str">
        <f t="array" aca="1" ref="N88" ca="1">IFERROR(INDEX(Daten!$AO$2:$AO$741,LARGE((Daten!$B$2:$B$741=Limits!$P$18)*(ROW(Daten!$B$2:$B$741)-1),COUNTIF(Daten!$B$2:$B$741,Limits!$P$18)+1-ROW(Daten!A13))),"")</f>
        <v/>
      </c>
      <c r="O88" s="18" t="str">
        <f t="array" aca="1" ref="O88" ca="1">IFERROR(INDEX(Daten!$AP$2:$AP$741,LARGE((Daten!$B$2:$B$741=Limits!$P$18)*(ROW(Daten!$B$2:$B$741)-1),COUNTIF(Daten!$B$2:$B$741,Limits!$P$18)+1-ROW(Daten!A13))),"")</f>
        <v/>
      </c>
      <c r="P88" t="str">
        <f t="array" aca="1" ref="P88" ca="1">IFERROR(INDEX(Daten!$AS$2:$AS$741,LARGE((Daten!$B$2:$B$741=Limits!$P$18)*(ROW(Daten!$B$2:$B$741)-1),COUNTIF(Daten!$B$2:$B$741,Limits!$P$18)+1-ROW(Daten!A13))),"")</f>
        <v/>
      </c>
      <c r="Q88" t="str">
        <f t="array" aca="1" ref="Q88" ca="1">IFERROR(INDEX(Daten!$AT$2:$AT$741,LARGE((Daten!$B$2:$B$741=Limits!$P$18)*(ROW(Daten!$B$2:$B$741)-1),COUNTIF(Daten!$B$2:$B$741,Limits!$P$18)+1-ROW(Daten!A13))),"")</f>
        <v/>
      </c>
    </row>
    <row r="89" spans="2:17" x14ac:dyDescent="0.25">
      <c r="B89" s="17" t="str">
        <f t="array" aca="1" ref="B89" ca="1">IFERROR(INDEX(Daten!$U$2:$U$741,LARGE((Daten!$B$2:$B$741=Limits!$P$18)*(ROW(Daten!$B$2:$B$741)-1),COUNTIF(Daten!$B$2:$B$741,Limits!$P$18)+1-ROW(Daten!A14))),"")</f>
        <v/>
      </c>
      <c r="C89" s="4"/>
      <c r="D89" s="2" t="str">
        <f t="array" aca="1" ref="D89" ca="1">IFERROR(INDEX(Daten!$AL$2:$AL$741,LARGE((Daten!$B$2:$B$741=Limits!$P$18)*(ROW(Daten!$B$2:$B$741)-1),COUNTIF(Daten!$B$2:$B$741,Limits!$P$18)+1-ROW(Daten!A14))),"")</f>
        <v/>
      </c>
      <c r="E89" s="2" t="str">
        <f t="array" aca="1" ref="E89" ca="1">IFERROR(INDEX(Daten!$AK$2:$AK$741,LARGE((Daten!$B$2:$B$741=Limits!$P$18)*(ROW(Daten!$B$2:$B$741)-1),COUNTIF(Daten!$B$2:$B$741,Limits!$P$18)+1-ROW(Daten!A14))),"")</f>
        <v/>
      </c>
      <c r="F89" s="2" t="str">
        <f t="array" aca="1" ref="F89" ca="1">IFERROR(INDEX(Daten!$AM$2:$AM$741,LARGE((Daten!$B$2:$B$741=Limits!$P$18)*(ROW(Daten!$B$2:$B$741)-1),COUNTIF(Daten!$B$2:$B$741,Limits!$P$18)+1-ROW(Daten!A14))),"")</f>
        <v/>
      </c>
      <c r="G89" s="4"/>
      <c r="H89" s="2" t="str">
        <f t="array" aca="1" ref="H89" ca="1">IFERROR(INDEX(Daten!$AN$2:$AN$741,LARGE((Daten!$B$2:$B$741=Limits!$P$18)*(ROW(Daten!$B$2:$B$741)-1),COUNTIF(Daten!$B$2:$B$741,Limits!$P$18)+1-ROW(Daten!A14))),"")</f>
        <v/>
      </c>
      <c r="I89" s="4"/>
      <c r="J89" s="2" t="str">
        <f t="array" aca="1" ref="J89" ca="1">IFERROR(INDEX(Daten!$AA$2:$AA$741,LARGE((Daten!$B$2:$B$741=Limits!$P$18)*(ROW(Daten!$B$2:$B$741)-1),COUNTIF(Daten!$B$2:$B$741,Limits!$P$18)+1-ROW(Daten!A14))),"")</f>
        <v/>
      </c>
      <c r="K89" s="14" t="str">
        <f t="array" aca="1" ref="K89" ca="1">IFERROR(INDEX(Daten!$AB$2:$AB$741,LARGE((Daten!$B$2:$B$741=Limits!$P$18)*(ROW(Daten!$B$2:$B$741)-1),COUNTIF(Daten!$B$2:$B$741,Limits!$P$18)+1-ROW(Daten!A14))),"")</f>
        <v/>
      </c>
      <c r="L89" s="10" t="str">
        <f t="array" aca="1" ref="L89" ca="1">IFERROR(INDEX(Daten!$AD$2:$AD$741,LARGE((Daten!$B$2:$B$741=Limits!$P$18)*(ROW(Daten!$B$2:$B$741)-1),COUNTIF(Daten!$B$2:$B$741,Limits!$P$18)+1-ROW(Daten!A14))),"")</f>
        <v/>
      </c>
      <c r="M89" s="14" t="str">
        <f t="array" aca="1" ref="M89" ca="1">IFERROR(INDEX(Daten!$AE$2:$AE$741,LARGE((Daten!$B$2:$B$741=Limits!$P$18)*(ROW(Daten!$B$2:$B$741)-1),COUNTIF(Daten!$B$2:$B$741,Limits!$P$18)+1-ROW(Daten!A14))),"")</f>
        <v/>
      </c>
      <c r="N89" s="2" t="str">
        <f t="array" aca="1" ref="N89" ca="1">IFERROR(INDEX(Daten!$AO$2:$AO$741,LARGE((Daten!$B$2:$B$741=Limits!$P$18)*(ROW(Daten!$B$2:$B$741)-1),COUNTIF(Daten!$B$2:$B$741,Limits!$P$18)+1-ROW(Daten!A14))),"")</f>
        <v/>
      </c>
      <c r="O89" s="18" t="str">
        <f t="array" aca="1" ref="O89" ca="1">IFERROR(INDEX(Daten!$AP$2:$AP$741,LARGE((Daten!$B$2:$B$741=Limits!$P$18)*(ROW(Daten!$B$2:$B$741)-1),COUNTIF(Daten!$B$2:$B$741,Limits!$P$18)+1-ROW(Daten!A14))),"")</f>
        <v/>
      </c>
      <c r="P89" t="str">
        <f t="array" aca="1" ref="P89" ca="1">IFERROR(INDEX(Daten!$AS$2:$AS$741,LARGE((Daten!$B$2:$B$741=Limits!$P$18)*(ROW(Daten!$B$2:$B$741)-1),COUNTIF(Daten!$B$2:$B$741,Limits!$P$18)+1-ROW(Daten!A14))),"")</f>
        <v/>
      </c>
      <c r="Q89" t="str">
        <f t="array" aca="1" ref="Q89" ca="1">IFERROR(INDEX(Daten!$AT$2:$AT$741,LARGE((Daten!$B$2:$B$741=Limits!$P$18)*(ROW(Daten!$B$2:$B$741)-1),COUNTIF(Daten!$B$2:$B$741,Limits!$P$18)+1-ROW(Daten!A14))),"")</f>
        <v/>
      </c>
    </row>
    <row r="90" spans="2:17" x14ac:dyDescent="0.25">
      <c r="B90" s="17" t="str">
        <f t="array" aca="1" ref="B90" ca="1">IFERROR(INDEX(Daten!$U$2:$U$741,LARGE((Daten!$B$2:$B$741=Limits!$P$18)*(ROW(Daten!$B$2:$B$741)-1),COUNTIF(Daten!$B$2:$B$741,Limits!$P$18)+1-ROW(Daten!A15))),"")</f>
        <v/>
      </c>
      <c r="C90" s="4"/>
      <c r="D90" s="2" t="str">
        <f t="array" aca="1" ref="D90" ca="1">IFERROR(INDEX(Daten!$AL$2:$AL$741,LARGE((Daten!$B$2:$B$741=Limits!$P$18)*(ROW(Daten!$B$2:$B$741)-1),COUNTIF(Daten!$B$2:$B$741,Limits!$P$18)+1-ROW(Daten!A15))),"")</f>
        <v/>
      </c>
      <c r="E90" s="2" t="str">
        <f t="array" aca="1" ref="E90" ca="1">IFERROR(INDEX(Daten!$AK$2:$AK$741,LARGE((Daten!$B$2:$B$741=Limits!$P$18)*(ROW(Daten!$B$2:$B$741)-1),COUNTIF(Daten!$B$2:$B$741,Limits!$P$18)+1-ROW(Daten!A15))),"")</f>
        <v/>
      </c>
      <c r="F90" s="2" t="str">
        <f t="array" aca="1" ref="F90" ca="1">IFERROR(INDEX(Daten!$AM$2:$AM$741,LARGE((Daten!$B$2:$B$741=Limits!$P$18)*(ROW(Daten!$B$2:$B$741)-1),COUNTIF(Daten!$B$2:$B$741,Limits!$P$18)+1-ROW(Daten!A15))),"")</f>
        <v/>
      </c>
      <c r="G90" s="4"/>
      <c r="H90" s="2" t="str">
        <f t="array" aca="1" ref="H90" ca="1">IFERROR(INDEX(Daten!$AN$2:$AN$741,LARGE((Daten!$B$2:$B$741=Limits!$P$18)*(ROW(Daten!$B$2:$B$741)-1),COUNTIF(Daten!$B$2:$B$741,Limits!$P$18)+1-ROW(Daten!A15))),"")</f>
        <v/>
      </c>
      <c r="I90" s="4"/>
      <c r="J90" s="2" t="str">
        <f t="array" aca="1" ref="J90" ca="1">IFERROR(INDEX(Daten!$AA$2:$AA$741,LARGE((Daten!$B$2:$B$741=Limits!$P$18)*(ROW(Daten!$B$2:$B$741)-1),COUNTIF(Daten!$B$2:$B$741,Limits!$P$18)+1-ROW(Daten!A15))),"")</f>
        <v/>
      </c>
      <c r="K90" s="14" t="str">
        <f t="array" aca="1" ref="K90" ca="1">IFERROR(INDEX(Daten!$AB$2:$AB$741,LARGE((Daten!$B$2:$B$741=Limits!$P$18)*(ROW(Daten!$B$2:$B$741)-1),COUNTIF(Daten!$B$2:$B$741,Limits!$P$18)+1-ROW(Daten!A15))),"")</f>
        <v/>
      </c>
      <c r="L90" s="10" t="str">
        <f t="array" aca="1" ref="L90" ca="1">IFERROR(INDEX(Daten!$AD$2:$AD$741,LARGE((Daten!$B$2:$B$741=Limits!$P$18)*(ROW(Daten!$B$2:$B$741)-1),COUNTIF(Daten!$B$2:$B$741,Limits!$P$18)+1-ROW(Daten!A15))),"")</f>
        <v/>
      </c>
      <c r="M90" s="14" t="str">
        <f t="array" aca="1" ref="M90" ca="1">IFERROR(INDEX(Daten!$AE$2:$AE$741,LARGE((Daten!$B$2:$B$741=Limits!$P$18)*(ROW(Daten!$B$2:$B$741)-1),COUNTIF(Daten!$B$2:$B$741,Limits!$P$18)+1-ROW(Daten!A15))),"")</f>
        <v/>
      </c>
      <c r="N90" s="2" t="str">
        <f t="array" aca="1" ref="N90" ca="1">IFERROR(INDEX(Daten!$AO$2:$AO$741,LARGE((Daten!$B$2:$B$741=Limits!$P$18)*(ROW(Daten!$B$2:$B$741)-1),COUNTIF(Daten!$B$2:$B$741,Limits!$P$18)+1-ROW(Daten!A15))),"")</f>
        <v/>
      </c>
      <c r="O90" s="18" t="str">
        <f t="array" aca="1" ref="O90" ca="1">IFERROR(INDEX(Daten!$AP$2:$AP$741,LARGE((Daten!$B$2:$B$741=Limits!$P$18)*(ROW(Daten!$B$2:$B$741)-1),COUNTIF(Daten!$B$2:$B$741,Limits!$P$18)+1-ROW(Daten!A15))),"")</f>
        <v/>
      </c>
      <c r="P90" t="str">
        <f t="array" aca="1" ref="P90" ca="1">IFERROR(INDEX(Daten!$AS$2:$AS$741,LARGE((Daten!$B$2:$B$741=Limits!$P$18)*(ROW(Daten!$B$2:$B$741)-1),COUNTIF(Daten!$B$2:$B$741,Limits!$P$18)+1-ROW(Daten!A15))),"")</f>
        <v/>
      </c>
      <c r="Q90" t="str">
        <f t="array" aca="1" ref="Q90" ca="1">IFERROR(INDEX(Daten!$AT$2:$AT$741,LARGE((Daten!$B$2:$B$741=Limits!$P$18)*(ROW(Daten!$B$2:$B$741)-1),COUNTIF(Daten!$B$2:$B$741,Limits!$P$18)+1-ROW(Daten!A15))),"")</f>
        <v/>
      </c>
    </row>
    <row r="91" spans="2:17" x14ac:dyDescent="0.25">
      <c r="B91" s="17" t="str">
        <f t="array" aca="1" ref="B91" ca="1">IFERROR(INDEX(Daten!$U$2:$U$741,LARGE((Daten!$B$2:$B$741=Limits!$P$18)*(ROW(Daten!$B$2:$B$741)-1),COUNTIF(Daten!$B$2:$B$741,Limits!$P$18)+1-ROW(Daten!A16))),"")</f>
        <v/>
      </c>
      <c r="C91" s="4"/>
      <c r="D91" s="2" t="str">
        <f t="array" aca="1" ref="D91" ca="1">IFERROR(INDEX(Daten!$AL$2:$AL$741,LARGE((Daten!$B$2:$B$741=Limits!$P$18)*(ROW(Daten!$B$2:$B$741)-1),COUNTIF(Daten!$B$2:$B$741,Limits!$P$18)+1-ROW(Daten!A16))),"")</f>
        <v/>
      </c>
      <c r="E91" s="2" t="str">
        <f t="array" aca="1" ref="E91" ca="1">IFERROR(INDEX(Daten!$AK$2:$AK$741,LARGE((Daten!$B$2:$B$741=Limits!$P$18)*(ROW(Daten!$B$2:$B$741)-1),COUNTIF(Daten!$B$2:$B$741,Limits!$P$18)+1-ROW(Daten!A16))),"")</f>
        <v/>
      </c>
      <c r="F91" s="2" t="str">
        <f t="array" aca="1" ref="F91" ca="1">IFERROR(INDEX(Daten!$AM$2:$AM$741,LARGE((Daten!$B$2:$B$741=Limits!$P$18)*(ROW(Daten!$B$2:$B$741)-1),COUNTIF(Daten!$B$2:$B$741,Limits!$P$18)+1-ROW(Daten!A16))),"")</f>
        <v/>
      </c>
      <c r="G91" s="4"/>
      <c r="H91" s="2" t="str">
        <f t="array" aca="1" ref="H91" ca="1">IFERROR(INDEX(Daten!$AN$2:$AN$741,LARGE((Daten!$B$2:$B$741=Limits!$P$18)*(ROW(Daten!$B$2:$B$741)-1),COUNTIF(Daten!$B$2:$B$741,Limits!$P$18)+1-ROW(Daten!A16))),"")</f>
        <v/>
      </c>
      <c r="I91" s="4"/>
      <c r="J91" s="2" t="str">
        <f t="array" aca="1" ref="J91" ca="1">IFERROR(INDEX(Daten!$AA$2:$AA$741,LARGE((Daten!$B$2:$B$741=Limits!$P$18)*(ROW(Daten!$B$2:$B$741)-1),COUNTIF(Daten!$B$2:$B$741,Limits!$P$18)+1-ROW(Daten!A16))),"")</f>
        <v/>
      </c>
      <c r="K91" s="14" t="str">
        <f t="array" aca="1" ref="K91" ca="1">IFERROR(INDEX(Daten!$AB$2:$AB$741,LARGE((Daten!$B$2:$B$741=Limits!$P$18)*(ROW(Daten!$B$2:$B$741)-1),COUNTIF(Daten!$B$2:$B$741,Limits!$P$18)+1-ROW(Daten!A16))),"")</f>
        <v/>
      </c>
      <c r="L91" s="10" t="str">
        <f t="array" aca="1" ref="L91" ca="1">IFERROR(INDEX(Daten!$AD$2:$AD$741,LARGE((Daten!$B$2:$B$741=Limits!$P$18)*(ROW(Daten!$B$2:$B$741)-1),COUNTIF(Daten!$B$2:$B$741,Limits!$P$18)+1-ROW(Daten!A16))),"")</f>
        <v/>
      </c>
      <c r="M91" s="14" t="str">
        <f t="array" aca="1" ref="M91" ca="1">IFERROR(INDEX(Daten!$AE$2:$AE$741,LARGE((Daten!$B$2:$B$741=Limits!$P$18)*(ROW(Daten!$B$2:$B$741)-1),COUNTIF(Daten!$B$2:$B$741,Limits!$P$18)+1-ROW(Daten!A16))),"")</f>
        <v/>
      </c>
      <c r="N91" s="2" t="str">
        <f t="array" aca="1" ref="N91" ca="1">IFERROR(INDEX(Daten!$AO$2:$AO$741,LARGE((Daten!$B$2:$B$741=Limits!$P$18)*(ROW(Daten!$B$2:$B$741)-1),COUNTIF(Daten!$B$2:$B$741,Limits!$P$18)+1-ROW(Daten!A16))),"")</f>
        <v/>
      </c>
      <c r="O91" s="18" t="str">
        <f t="array" aca="1" ref="O91" ca="1">IFERROR(INDEX(Daten!$AP$2:$AP$741,LARGE((Daten!$B$2:$B$741=Limits!$P$18)*(ROW(Daten!$B$2:$B$741)-1),COUNTIF(Daten!$B$2:$B$741,Limits!$P$18)+1-ROW(Daten!A16))),"")</f>
        <v/>
      </c>
      <c r="P91" t="str">
        <f t="array" aca="1" ref="P91" ca="1">IFERROR(INDEX(Daten!$AS$2:$AS$741,LARGE((Daten!$B$2:$B$741=Limits!$P$18)*(ROW(Daten!$B$2:$B$741)-1),COUNTIF(Daten!$B$2:$B$741,Limits!$P$18)+1-ROW(Daten!A16))),"")</f>
        <v/>
      </c>
      <c r="Q91" t="str">
        <f t="array" aca="1" ref="Q91" ca="1">IFERROR(INDEX(Daten!$AT$2:$AT$741,LARGE((Daten!$B$2:$B$741=Limits!$P$18)*(ROW(Daten!$B$2:$B$741)-1),COUNTIF(Daten!$B$2:$B$741,Limits!$P$18)+1-ROW(Daten!A16))),"")</f>
        <v/>
      </c>
    </row>
    <row r="92" spans="2:17" x14ac:dyDescent="0.25">
      <c r="B92" s="17" t="str">
        <f t="array" aca="1" ref="B92" ca="1">IFERROR(INDEX(Daten!$U$2:$U$741,LARGE((Daten!$B$2:$B$741=Limits!$P$18)*(ROW(Daten!$B$2:$B$741)-1),COUNTIF(Daten!$B$2:$B$741,Limits!$P$18)+1-ROW(Daten!A17))),"")</f>
        <v/>
      </c>
      <c r="C92" s="4"/>
      <c r="D92" s="2" t="str">
        <f t="array" aca="1" ref="D92" ca="1">IFERROR(INDEX(Daten!$AL$2:$AL$741,LARGE((Daten!$B$2:$B$741=Limits!$P$18)*(ROW(Daten!$B$2:$B$741)-1),COUNTIF(Daten!$B$2:$B$741,Limits!$P$18)+1-ROW(Daten!A17))),"")</f>
        <v/>
      </c>
      <c r="E92" s="2" t="str">
        <f t="array" aca="1" ref="E92" ca="1">IFERROR(INDEX(Daten!$AK$2:$AK$741,LARGE((Daten!$B$2:$B$741=Limits!$P$18)*(ROW(Daten!$B$2:$B$741)-1),COUNTIF(Daten!$B$2:$B$741,Limits!$P$18)+1-ROW(Daten!A17))),"")</f>
        <v/>
      </c>
      <c r="F92" s="2" t="str">
        <f t="array" aca="1" ref="F92" ca="1">IFERROR(INDEX(Daten!$AM$2:$AM$741,LARGE((Daten!$B$2:$B$741=Limits!$P$18)*(ROW(Daten!$B$2:$B$741)-1),COUNTIF(Daten!$B$2:$B$741,Limits!$P$18)+1-ROW(Daten!A17))),"")</f>
        <v/>
      </c>
      <c r="G92" s="4"/>
      <c r="H92" s="2" t="str">
        <f t="array" aca="1" ref="H92" ca="1">IFERROR(INDEX(Daten!$AN$2:$AN$741,LARGE((Daten!$B$2:$B$741=Limits!$P$18)*(ROW(Daten!$B$2:$B$741)-1),COUNTIF(Daten!$B$2:$B$741,Limits!$P$18)+1-ROW(Daten!A17))),"")</f>
        <v/>
      </c>
      <c r="I92" s="4"/>
      <c r="J92" s="2" t="str">
        <f t="array" aca="1" ref="J92" ca="1">IFERROR(INDEX(Daten!$AA$2:$AA$741,LARGE((Daten!$B$2:$B$741=Limits!$P$18)*(ROW(Daten!$B$2:$B$741)-1),COUNTIF(Daten!$B$2:$B$741,Limits!$P$18)+1-ROW(Daten!A17))),"")</f>
        <v/>
      </c>
      <c r="K92" s="14" t="str">
        <f t="array" aca="1" ref="K92" ca="1">IFERROR(INDEX(Daten!$AB$2:$AB$741,LARGE((Daten!$B$2:$B$741=Limits!$P$18)*(ROW(Daten!$B$2:$B$741)-1),COUNTIF(Daten!$B$2:$B$741,Limits!$P$18)+1-ROW(Daten!A17))),"")</f>
        <v/>
      </c>
      <c r="L92" s="10" t="str">
        <f t="array" aca="1" ref="L92" ca="1">IFERROR(INDEX(Daten!$AD$2:$AD$741,LARGE((Daten!$B$2:$B$741=Limits!$P$18)*(ROW(Daten!$B$2:$B$741)-1),COUNTIF(Daten!$B$2:$B$741,Limits!$P$18)+1-ROW(Daten!A17))),"")</f>
        <v/>
      </c>
      <c r="M92" s="14" t="str">
        <f t="array" aca="1" ref="M92" ca="1">IFERROR(INDEX(Daten!$AE$2:$AE$741,LARGE((Daten!$B$2:$B$741=Limits!$P$18)*(ROW(Daten!$B$2:$B$741)-1),COUNTIF(Daten!$B$2:$B$741,Limits!$P$18)+1-ROW(Daten!A17))),"")</f>
        <v/>
      </c>
      <c r="N92" s="2" t="str">
        <f t="array" aca="1" ref="N92" ca="1">IFERROR(INDEX(Daten!$AO$2:$AO$741,LARGE((Daten!$B$2:$B$741=Limits!$P$18)*(ROW(Daten!$B$2:$B$741)-1),COUNTIF(Daten!$B$2:$B$741,Limits!$P$18)+1-ROW(Daten!A17))),"")</f>
        <v/>
      </c>
      <c r="O92" s="18" t="str">
        <f t="array" aca="1" ref="O92" ca="1">IFERROR(INDEX(Daten!$AP$2:$AP$741,LARGE((Daten!$B$2:$B$741=Limits!$P$18)*(ROW(Daten!$B$2:$B$741)-1),COUNTIF(Daten!$B$2:$B$741,Limits!$P$18)+1-ROW(Daten!A17))),"")</f>
        <v/>
      </c>
      <c r="P92" t="str">
        <f t="array" aca="1" ref="P92" ca="1">IFERROR(INDEX(Daten!$AS$2:$AS$741,LARGE((Daten!$B$2:$B$741=Limits!$P$18)*(ROW(Daten!$B$2:$B$741)-1),COUNTIF(Daten!$B$2:$B$741,Limits!$P$18)+1-ROW(Daten!A17))),"")</f>
        <v/>
      </c>
      <c r="Q92" t="str">
        <f t="array" aca="1" ref="Q92" ca="1">IFERROR(INDEX(Daten!$AT$2:$AT$741,LARGE((Daten!$B$2:$B$741=Limits!$P$18)*(ROW(Daten!$B$2:$B$741)-1),COUNTIF(Daten!$B$2:$B$741,Limits!$P$18)+1-ROW(Daten!A17))),"")</f>
        <v/>
      </c>
    </row>
    <row r="93" spans="2:17" x14ac:dyDescent="0.25">
      <c r="B93" s="17" t="str">
        <f t="array" aca="1" ref="B93" ca="1">IFERROR(INDEX(Daten!$U$2:$U$741,LARGE((Daten!$B$2:$B$741=Limits!$P$18)*(ROW(Daten!$B$2:$B$741)-1),COUNTIF(Daten!$B$2:$B$741,Limits!$P$18)+1-ROW(Daten!A18))),"")</f>
        <v/>
      </c>
      <c r="C93" s="4"/>
      <c r="D93" s="2" t="str">
        <f t="array" aca="1" ref="D93" ca="1">IFERROR(INDEX(Daten!$AL$2:$AL$741,LARGE((Daten!$B$2:$B$741=Limits!$P$18)*(ROW(Daten!$B$2:$B$741)-1),COUNTIF(Daten!$B$2:$B$741,Limits!$P$18)+1-ROW(Daten!A18))),"")</f>
        <v/>
      </c>
      <c r="E93" s="2" t="str">
        <f t="array" aca="1" ref="E93" ca="1">IFERROR(INDEX(Daten!$AK$2:$AK$741,LARGE((Daten!$B$2:$B$741=Limits!$P$18)*(ROW(Daten!$B$2:$B$741)-1),COUNTIF(Daten!$B$2:$B$741,Limits!$P$18)+1-ROW(Daten!A18))),"")</f>
        <v/>
      </c>
      <c r="F93" s="2" t="str">
        <f t="array" aca="1" ref="F93" ca="1">IFERROR(INDEX(Daten!$AM$2:$AM$741,LARGE((Daten!$B$2:$B$741=Limits!$P$18)*(ROW(Daten!$B$2:$B$741)-1),COUNTIF(Daten!$B$2:$B$741,Limits!$P$18)+1-ROW(Daten!A18))),"")</f>
        <v/>
      </c>
      <c r="G93" s="4"/>
      <c r="H93" s="2" t="str">
        <f t="array" aca="1" ref="H93" ca="1">IFERROR(INDEX(Daten!$AN$2:$AN$741,LARGE((Daten!$B$2:$B$741=Limits!$P$18)*(ROW(Daten!$B$2:$B$741)-1),COUNTIF(Daten!$B$2:$B$741,Limits!$P$18)+1-ROW(Daten!A18))),"")</f>
        <v/>
      </c>
      <c r="I93" s="4"/>
      <c r="J93" s="2" t="str">
        <f t="array" aca="1" ref="J93" ca="1">IFERROR(INDEX(Daten!$AA$2:$AA$741,LARGE((Daten!$B$2:$B$741=Limits!$P$18)*(ROW(Daten!$B$2:$B$741)-1),COUNTIF(Daten!$B$2:$B$741,Limits!$P$18)+1-ROW(Daten!A18))),"")</f>
        <v/>
      </c>
      <c r="K93" s="14" t="str">
        <f t="array" aca="1" ref="K93" ca="1">IFERROR(INDEX(Daten!$AB$2:$AB$741,LARGE((Daten!$B$2:$B$741=Limits!$P$18)*(ROW(Daten!$B$2:$B$741)-1),COUNTIF(Daten!$B$2:$B$741,Limits!$P$18)+1-ROW(Daten!A18))),"")</f>
        <v/>
      </c>
      <c r="L93" s="10" t="str">
        <f t="array" aca="1" ref="L93" ca="1">IFERROR(INDEX(Daten!$AD$2:$AD$741,LARGE((Daten!$B$2:$B$741=Limits!$P$18)*(ROW(Daten!$B$2:$B$741)-1),COUNTIF(Daten!$B$2:$B$741,Limits!$P$18)+1-ROW(Daten!A18))),"")</f>
        <v/>
      </c>
      <c r="M93" s="14" t="str">
        <f t="array" aca="1" ref="M93" ca="1">IFERROR(INDEX(Daten!$AE$2:$AE$741,LARGE((Daten!$B$2:$B$741=Limits!$P$18)*(ROW(Daten!$B$2:$B$741)-1),COUNTIF(Daten!$B$2:$B$741,Limits!$P$18)+1-ROW(Daten!A18))),"")</f>
        <v/>
      </c>
      <c r="N93" s="2" t="str">
        <f t="array" aca="1" ref="N93" ca="1">IFERROR(INDEX(Daten!$AO$2:$AO$741,LARGE((Daten!$B$2:$B$741=Limits!$P$18)*(ROW(Daten!$B$2:$B$741)-1),COUNTIF(Daten!$B$2:$B$741,Limits!$P$18)+1-ROW(Daten!A18))),"")</f>
        <v/>
      </c>
      <c r="O93" s="18" t="str">
        <f t="array" aca="1" ref="O93" ca="1">IFERROR(INDEX(Daten!$AP$2:$AP$741,LARGE((Daten!$B$2:$B$741=Limits!$P$18)*(ROW(Daten!$B$2:$B$741)-1),COUNTIF(Daten!$B$2:$B$741,Limits!$P$18)+1-ROW(Daten!A18))),"")</f>
        <v/>
      </c>
      <c r="P93" t="str">
        <f t="array" aca="1" ref="P93" ca="1">IFERROR(INDEX(Daten!$AS$2:$AS$741,LARGE((Daten!$B$2:$B$741=Limits!$P$18)*(ROW(Daten!$B$2:$B$741)-1),COUNTIF(Daten!$B$2:$B$741,Limits!$P$18)+1-ROW(Daten!A18))),"")</f>
        <v/>
      </c>
      <c r="Q93" t="str">
        <f t="array" aca="1" ref="Q93" ca="1">IFERROR(INDEX(Daten!$AT$2:$AT$741,LARGE((Daten!$B$2:$B$741=Limits!$P$18)*(ROW(Daten!$B$2:$B$741)-1),COUNTIF(Daten!$B$2:$B$741,Limits!$P$18)+1-ROW(Daten!A18))),"")</f>
        <v/>
      </c>
    </row>
    <row r="94" spans="2:17" x14ac:dyDescent="0.25">
      <c r="B94" s="17" t="str">
        <f t="array" aca="1" ref="B94" ca="1">IFERROR(INDEX(Daten!$U$2:$U$741,LARGE((Daten!$B$2:$B$741=Limits!$P$18)*(ROW(Daten!$B$2:$B$741)-1),COUNTIF(Daten!$B$2:$B$741,Limits!$P$18)+1-ROW(Daten!A19))),"")</f>
        <v/>
      </c>
      <c r="C94" s="4"/>
      <c r="D94" s="2" t="str">
        <f t="array" aca="1" ref="D94" ca="1">IFERROR(INDEX(Daten!$AL$2:$AL$741,LARGE((Daten!$B$2:$B$741=Limits!$P$18)*(ROW(Daten!$B$2:$B$741)-1),COUNTIF(Daten!$B$2:$B$741,Limits!$P$18)+1-ROW(Daten!A19))),"")</f>
        <v/>
      </c>
      <c r="E94" s="2" t="str">
        <f t="array" aca="1" ref="E94" ca="1">IFERROR(INDEX(Daten!$AK$2:$AK$741,LARGE((Daten!$B$2:$B$741=Limits!$P$18)*(ROW(Daten!$B$2:$B$741)-1),COUNTIF(Daten!$B$2:$B$741,Limits!$P$18)+1-ROW(Daten!A19))),"")</f>
        <v/>
      </c>
      <c r="F94" s="2" t="str">
        <f t="array" aca="1" ref="F94" ca="1">IFERROR(INDEX(Daten!$AM$2:$AM$741,LARGE((Daten!$B$2:$B$741=Limits!$P$18)*(ROW(Daten!$B$2:$B$741)-1),COUNTIF(Daten!$B$2:$B$741,Limits!$P$18)+1-ROW(Daten!A19))),"")</f>
        <v/>
      </c>
      <c r="G94" s="4"/>
      <c r="H94" s="2" t="str">
        <f t="array" aca="1" ref="H94" ca="1">IFERROR(INDEX(Daten!$AN$2:$AN$741,LARGE((Daten!$B$2:$B$741=Limits!$P$18)*(ROW(Daten!$B$2:$B$741)-1),COUNTIF(Daten!$B$2:$B$741,Limits!$P$18)+1-ROW(Daten!A19))),"")</f>
        <v/>
      </c>
      <c r="I94" s="4"/>
      <c r="J94" s="2" t="str">
        <f t="array" aca="1" ref="J94" ca="1">IFERROR(INDEX(Daten!$AA$2:$AA$741,LARGE((Daten!$B$2:$B$741=Limits!$P$18)*(ROW(Daten!$B$2:$B$741)-1),COUNTIF(Daten!$B$2:$B$741,Limits!$P$18)+1-ROW(Daten!A19))),"")</f>
        <v/>
      </c>
      <c r="K94" s="14" t="str">
        <f t="array" aca="1" ref="K94" ca="1">IFERROR(INDEX(Daten!$AB$2:$AB$741,LARGE((Daten!$B$2:$B$741=Limits!$P$18)*(ROW(Daten!$B$2:$B$741)-1),COUNTIF(Daten!$B$2:$B$741,Limits!$P$18)+1-ROW(Daten!A19))),"")</f>
        <v/>
      </c>
      <c r="L94" s="10" t="str">
        <f t="array" aca="1" ref="L94" ca="1">IFERROR(INDEX(Daten!$AD$2:$AD$741,LARGE((Daten!$B$2:$B$741=Limits!$P$18)*(ROW(Daten!$B$2:$B$741)-1),COUNTIF(Daten!$B$2:$B$741,Limits!$P$18)+1-ROW(Daten!A19))),"")</f>
        <v/>
      </c>
      <c r="M94" s="14" t="str">
        <f t="array" aca="1" ref="M94" ca="1">IFERROR(INDEX(Daten!$AE$2:$AE$741,LARGE((Daten!$B$2:$B$741=Limits!$P$18)*(ROW(Daten!$B$2:$B$741)-1),COUNTIF(Daten!$B$2:$B$741,Limits!$P$18)+1-ROW(Daten!A19))),"")</f>
        <v/>
      </c>
      <c r="N94" s="2" t="str">
        <f t="array" aca="1" ref="N94" ca="1">IFERROR(INDEX(Daten!$AO$2:$AO$741,LARGE((Daten!$B$2:$B$741=Limits!$P$18)*(ROW(Daten!$B$2:$B$741)-1),COUNTIF(Daten!$B$2:$B$741,Limits!$P$18)+1-ROW(Daten!A19))),"")</f>
        <v/>
      </c>
      <c r="O94" s="18" t="str">
        <f t="array" aca="1" ref="O94" ca="1">IFERROR(INDEX(Daten!$AP$2:$AP$741,LARGE((Daten!$B$2:$B$741=Limits!$P$18)*(ROW(Daten!$B$2:$B$741)-1),COUNTIF(Daten!$B$2:$B$741,Limits!$P$18)+1-ROW(Daten!A19))),"")</f>
        <v/>
      </c>
      <c r="P94" t="str">
        <f t="array" aca="1" ref="P94" ca="1">IFERROR(INDEX(Daten!$AS$2:$AS$741,LARGE((Daten!$B$2:$B$741=Limits!$P$18)*(ROW(Daten!$B$2:$B$741)-1),COUNTIF(Daten!$B$2:$B$741,Limits!$P$18)+1-ROW(Daten!A19))),"")</f>
        <v/>
      </c>
      <c r="Q94" t="str">
        <f t="array" aca="1" ref="Q94" ca="1">IFERROR(INDEX(Daten!$AT$2:$AT$741,LARGE((Daten!$B$2:$B$741=Limits!$P$18)*(ROW(Daten!$B$2:$B$741)-1),COUNTIF(Daten!$B$2:$B$741,Limits!$P$18)+1-ROW(Daten!A19))),"")</f>
        <v/>
      </c>
    </row>
    <row r="95" spans="2:17" x14ac:dyDescent="0.25">
      <c r="B95" s="17" t="str">
        <f t="array" aca="1" ref="B95" ca="1">IFERROR(INDEX(Daten!$U$2:$U$741,LARGE((Daten!$B$2:$B$741=Limits!$P$18)*(ROW(Daten!$B$2:$B$741)-1),COUNTIF(Daten!$B$2:$B$741,Limits!$P$18)+1-ROW(Daten!A20))),"")</f>
        <v/>
      </c>
      <c r="C95" s="4"/>
      <c r="D95" s="2" t="str">
        <f t="array" aca="1" ref="D95" ca="1">IFERROR(INDEX(Daten!$AL$2:$AL$741,LARGE((Daten!$B$2:$B$741=Limits!$P$18)*(ROW(Daten!$B$2:$B$741)-1),COUNTIF(Daten!$B$2:$B$741,Limits!$P$18)+1-ROW(Daten!A20))),"")</f>
        <v/>
      </c>
      <c r="E95" s="2" t="str">
        <f t="array" aca="1" ref="E95" ca="1">IFERROR(INDEX(Daten!$AK$2:$AK$741,LARGE((Daten!$B$2:$B$741=Limits!$P$18)*(ROW(Daten!$B$2:$B$741)-1),COUNTIF(Daten!$B$2:$B$741,Limits!$P$18)+1-ROW(Daten!A20))),"")</f>
        <v/>
      </c>
      <c r="F95" s="2" t="str">
        <f t="array" aca="1" ref="F95" ca="1">IFERROR(INDEX(Daten!$AM$2:$AM$741,LARGE((Daten!$B$2:$B$741=Limits!$P$18)*(ROW(Daten!$B$2:$B$741)-1),COUNTIF(Daten!$B$2:$B$741,Limits!$P$18)+1-ROW(Daten!A20))),"")</f>
        <v/>
      </c>
      <c r="G95" s="4"/>
      <c r="H95" s="2" t="str">
        <f t="array" aca="1" ref="H95" ca="1">IFERROR(INDEX(Daten!$AN$2:$AN$741,LARGE((Daten!$B$2:$B$741=Limits!$P$18)*(ROW(Daten!$B$2:$B$741)-1),COUNTIF(Daten!$B$2:$B$741,Limits!$P$18)+1-ROW(Daten!A20))),"")</f>
        <v/>
      </c>
      <c r="I95" s="4"/>
      <c r="J95" s="2" t="str">
        <f t="array" aca="1" ref="J95" ca="1">IFERROR(INDEX(Daten!$AA$2:$AA$741,LARGE((Daten!$B$2:$B$741=Limits!$P$18)*(ROW(Daten!$B$2:$B$741)-1),COUNTIF(Daten!$B$2:$B$741,Limits!$P$18)+1-ROW(Daten!A20))),"")</f>
        <v/>
      </c>
      <c r="K95" s="14" t="str">
        <f t="array" aca="1" ref="K95" ca="1">IFERROR(INDEX(Daten!$AB$2:$AB$741,LARGE((Daten!$B$2:$B$741=Limits!$P$18)*(ROW(Daten!$B$2:$B$741)-1),COUNTIF(Daten!$B$2:$B$741,Limits!$P$18)+1-ROW(Daten!A20))),"")</f>
        <v/>
      </c>
      <c r="L95" s="10" t="str">
        <f t="array" aca="1" ref="L95" ca="1">IFERROR(INDEX(Daten!$AD$2:$AD$741,LARGE((Daten!$B$2:$B$741=Limits!$P$18)*(ROW(Daten!$B$2:$B$741)-1),COUNTIF(Daten!$B$2:$B$741,Limits!$P$18)+1-ROW(Daten!A20))),"")</f>
        <v/>
      </c>
      <c r="M95" s="14" t="str">
        <f t="array" aca="1" ref="M95" ca="1">IFERROR(INDEX(Daten!$AE$2:$AE$741,LARGE((Daten!$B$2:$B$741=Limits!$P$18)*(ROW(Daten!$B$2:$B$741)-1),COUNTIF(Daten!$B$2:$B$741,Limits!$P$18)+1-ROW(Daten!A20))),"")</f>
        <v/>
      </c>
      <c r="N95" s="2" t="str">
        <f t="array" aca="1" ref="N95" ca="1">IFERROR(INDEX(Daten!$AO$2:$AO$741,LARGE((Daten!$B$2:$B$741=Limits!$P$18)*(ROW(Daten!$B$2:$B$741)-1),COUNTIF(Daten!$B$2:$B$741,Limits!$P$18)+1-ROW(Daten!A20))),"")</f>
        <v/>
      </c>
      <c r="O95" s="18" t="str">
        <f t="array" aca="1" ref="O95" ca="1">IFERROR(INDEX(Daten!$AP$2:$AP$741,LARGE((Daten!$B$2:$B$741=Limits!$P$18)*(ROW(Daten!$B$2:$B$741)-1),COUNTIF(Daten!$B$2:$B$741,Limits!$P$18)+1-ROW(Daten!A20))),"")</f>
        <v/>
      </c>
      <c r="P95" t="str">
        <f t="array" aca="1" ref="P95" ca="1">IFERROR(INDEX(Daten!$AS$2:$AS$741,LARGE((Daten!$B$2:$B$741=Limits!$P$18)*(ROW(Daten!$B$2:$B$741)-1),COUNTIF(Daten!$B$2:$B$741,Limits!$P$18)+1-ROW(Daten!A20))),"")</f>
        <v/>
      </c>
      <c r="Q95" t="str">
        <f t="array" aca="1" ref="Q95" ca="1">IFERROR(INDEX(Daten!$AT$2:$AT$741,LARGE((Daten!$B$2:$B$741=Limits!$P$18)*(ROW(Daten!$B$2:$B$741)-1),COUNTIF(Daten!$B$2:$B$741,Limits!$P$18)+1-ROW(Daten!A20))),"")</f>
        <v/>
      </c>
    </row>
    <row r="96" spans="2:17" x14ac:dyDescent="0.25">
      <c r="B96" s="17" t="str">
        <f t="array" aca="1" ref="B96" ca="1">IFERROR(INDEX(Daten!$U$2:$U$741,LARGE((Daten!$B$2:$B$741=Limits!$P$18)*(ROW(Daten!$B$2:$B$741)-1),COUNTIF(Daten!$B$2:$B$741,Limits!$P$18)+1-ROW(Daten!A21))),"")</f>
        <v/>
      </c>
      <c r="C96" s="4"/>
      <c r="D96" s="2" t="str">
        <f t="array" aca="1" ref="D96" ca="1">IFERROR(INDEX(Daten!$AL$2:$AL$741,LARGE((Daten!$B$2:$B$741=Limits!$P$18)*(ROW(Daten!$B$2:$B$741)-1),COUNTIF(Daten!$B$2:$B$741,Limits!$P$18)+1-ROW(Daten!A21))),"")</f>
        <v/>
      </c>
      <c r="E96" s="2" t="str">
        <f t="array" aca="1" ref="E96" ca="1">IFERROR(INDEX(Daten!$AK$2:$AK$741,LARGE((Daten!$B$2:$B$741=Limits!$P$18)*(ROW(Daten!$B$2:$B$741)-1),COUNTIF(Daten!$B$2:$B$741,Limits!$P$18)+1-ROW(Daten!A21))),"")</f>
        <v/>
      </c>
      <c r="F96" s="2" t="str">
        <f t="array" aca="1" ref="F96" ca="1">IFERROR(INDEX(Daten!$AM$2:$AM$741,LARGE((Daten!$B$2:$B$741=Limits!$P$18)*(ROW(Daten!$B$2:$B$741)-1),COUNTIF(Daten!$B$2:$B$741,Limits!$P$18)+1-ROW(Daten!A21))),"")</f>
        <v/>
      </c>
      <c r="G96" s="4"/>
      <c r="H96" s="2" t="str">
        <f t="array" aca="1" ref="H96" ca="1">IFERROR(INDEX(Daten!$AN$2:$AN$741,LARGE((Daten!$B$2:$B$741=Limits!$P$18)*(ROW(Daten!$B$2:$B$741)-1),COUNTIF(Daten!$B$2:$B$741,Limits!$P$18)+1-ROW(Daten!A21))),"")</f>
        <v/>
      </c>
      <c r="I96" s="4"/>
      <c r="J96" s="2" t="str">
        <f t="array" aca="1" ref="J96" ca="1">IFERROR(INDEX(Daten!$AA$2:$AA$741,LARGE((Daten!$B$2:$B$741=Limits!$P$18)*(ROW(Daten!$B$2:$B$741)-1),COUNTIF(Daten!$B$2:$B$741,Limits!$P$18)+1-ROW(Daten!A21))),"")</f>
        <v/>
      </c>
      <c r="K96" s="14" t="str">
        <f t="array" aca="1" ref="K96" ca="1">IFERROR(INDEX(Daten!$AB$2:$AB$741,LARGE((Daten!$B$2:$B$741=Limits!$P$18)*(ROW(Daten!$B$2:$B$741)-1),COUNTIF(Daten!$B$2:$B$741,Limits!$P$18)+1-ROW(Daten!A21))),"")</f>
        <v/>
      </c>
      <c r="L96" s="10" t="str">
        <f t="array" aca="1" ref="L96" ca="1">IFERROR(INDEX(Daten!$AD$2:$AD$741,LARGE((Daten!$B$2:$B$741=Limits!$P$18)*(ROW(Daten!$B$2:$B$741)-1),COUNTIF(Daten!$B$2:$B$741,Limits!$P$18)+1-ROW(Daten!A21))),"")</f>
        <v/>
      </c>
      <c r="M96" s="14" t="str">
        <f t="array" aca="1" ref="M96" ca="1">IFERROR(INDEX(Daten!$AE$2:$AE$741,LARGE((Daten!$B$2:$B$741=Limits!$P$18)*(ROW(Daten!$B$2:$B$741)-1),COUNTIF(Daten!$B$2:$B$741,Limits!$P$18)+1-ROW(Daten!A21))),"")</f>
        <v/>
      </c>
      <c r="N96" s="2" t="str">
        <f t="array" aca="1" ref="N96" ca="1">IFERROR(INDEX(Daten!$AO$2:$AO$741,LARGE((Daten!$B$2:$B$741=Limits!$P$18)*(ROW(Daten!$B$2:$B$741)-1),COUNTIF(Daten!$B$2:$B$741,Limits!$P$18)+1-ROW(Daten!A21))),"")</f>
        <v/>
      </c>
      <c r="O96" s="18" t="str">
        <f t="array" aca="1" ref="O96" ca="1">IFERROR(INDEX(Daten!$AP$2:$AP$741,LARGE((Daten!$B$2:$B$741=Limits!$P$18)*(ROW(Daten!$B$2:$B$741)-1),COUNTIF(Daten!$B$2:$B$741,Limits!$P$18)+1-ROW(Daten!A21))),"")</f>
        <v/>
      </c>
      <c r="P96" t="str">
        <f t="array" aca="1" ref="P96" ca="1">IFERROR(INDEX(Daten!$AS$2:$AS$741,LARGE((Daten!$B$2:$B$741=Limits!$P$18)*(ROW(Daten!$B$2:$B$741)-1),COUNTIF(Daten!$B$2:$B$741,Limits!$P$18)+1-ROW(Daten!A21))),"")</f>
        <v/>
      </c>
      <c r="Q96" t="str">
        <f t="array" aca="1" ref="Q96" ca="1">IFERROR(INDEX(Daten!$AT$2:$AT$741,LARGE((Daten!$B$2:$B$741=Limits!$P$18)*(ROW(Daten!$B$2:$B$741)-1),COUNTIF(Daten!$B$2:$B$741,Limits!$P$18)+1-ROW(Daten!A21))),"")</f>
        <v/>
      </c>
    </row>
    <row r="97" spans="1:17" x14ac:dyDescent="0.25">
      <c r="B97" s="17" t="str">
        <f t="array" aca="1" ref="B97" ca="1">IFERROR(INDEX(Daten!$U$2:$U$741,LARGE((Daten!$B$2:$B$741=Limits!$P$18)*(ROW(Daten!$B$2:$B$741)-1),COUNTIF(Daten!$B$2:$B$741,Limits!$P$18)+1-ROW(Daten!A22))),"")</f>
        <v/>
      </c>
      <c r="C97" s="4"/>
      <c r="D97" s="2" t="str">
        <f t="array" aca="1" ref="D97" ca="1">IFERROR(INDEX(Daten!$AL$2:$AL$741,LARGE((Daten!$B$2:$B$741=Limits!$P$18)*(ROW(Daten!$B$2:$B$741)-1),COUNTIF(Daten!$B$2:$B$741,Limits!$P$18)+1-ROW(Daten!A22))),"")</f>
        <v/>
      </c>
      <c r="E97" s="2" t="str">
        <f t="array" aca="1" ref="E97" ca="1">IFERROR(INDEX(Daten!$AK$2:$AK$741,LARGE((Daten!$B$2:$B$741=Limits!$P$18)*(ROW(Daten!$B$2:$B$741)-1),COUNTIF(Daten!$B$2:$B$741,Limits!$P$18)+1-ROW(Daten!A22))),"")</f>
        <v/>
      </c>
      <c r="F97" s="2" t="str">
        <f t="array" aca="1" ref="F97" ca="1">IFERROR(INDEX(Daten!$AM$2:$AM$741,LARGE((Daten!$B$2:$B$741=Limits!$P$18)*(ROW(Daten!$B$2:$B$741)-1),COUNTIF(Daten!$B$2:$B$741,Limits!$P$18)+1-ROW(Daten!A22))),"")</f>
        <v/>
      </c>
      <c r="G97" s="4"/>
      <c r="H97" s="2" t="str">
        <f t="array" aca="1" ref="H97" ca="1">IFERROR(INDEX(Daten!$AN$2:$AN$741,LARGE((Daten!$B$2:$B$741=Limits!$P$18)*(ROW(Daten!$B$2:$B$741)-1),COUNTIF(Daten!$B$2:$B$741,Limits!$P$18)+1-ROW(Daten!A22))),"")</f>
        <v/>
      </c>
      <c r="I97" s="4"/>
      <c r="J97" s="2" t="str">
        <f t="array" aca="1" ref="J97" ca="1">IFERROR(INDEX(Daten!$AA$2:$AA$741,LARGE((Daten!$B$2:$B$741=Limits!$P$18)*(ROW(Daten!$B$2:$B$741)-1),COUNTIF(Daten!$B$2:$B$741,Limits!$P$18)+1-ROW(Daten!A22))),"")</f>
        <v/>
      </c>
      <c r="K97" s="14" t="str">
        <f t="array" aca="1" ref="K97" ca="1">IFERROR(INDEX(Daten!$AB$2:$AB$741,LARGE((Daten!$B$2:$B$741=Limits!$P$18)*(ROW(Daten!$B$2:$B$741)-1),COUNTIF(Daten!$B$2:$B$741,Limits!$P$18)+1-ROW(Daten!A22))),"")</f>
        <v/>
      </c>
      <c r="L97" s="10" t="str">
        <f t="array" aca="1" ref="L97" ca="1">IFERROR(INDEX(Daten!$AD$2:$AD$741,LARGE((Daten!$B$2:$B$741=Limits!$P$18)*(ROW(Daten!$B$2:$B$741)-1),COUNTIF(Daten!$B$2:$B$741,Limits!$P$18)+1-ROW(Daten!A22))),"")</f>
        <v/>
      </c>
      <c r="M97" s="14" t="str">
        <f t="array" aca="1" ref="M97" ca="1">IFERROR(INDEX(Daten!$AE$2:$AE$741,LARGE((Daten!$B$2:$B$741=Limits!$P$18)*(ROW(Daten!$B$2:$B$741)-1),COUNTIF(Daten!$B$2:$B$741,Limits!$P$18)+1-ROW(Daten!A22))),"")</f>
        <v/>
      </c>
      <c r="N97" s="2" t="str">
        <f t="array" aca="1" ref="N97" ca="1">IFERROR(INDEX(Daten!$AO$2:$AO$741,LARGE((Daten!$B$2:$B$741=Limits!$P$18)*(ROW(Daten!$B$2:$B$741)-1),COUNTIF(Daten!$B$2:$B$741,Limits!$P$18)+1-ROW(Daten!A22))),"")</f>
        <v/>
      </c>
      <c r="O97" s="18" t="str">
        <f t="array" aca="1" ref="O97" ca="1">IFERROR(INDEX(Daten!$AP$2:$AP$741,LARGE((Daten!$B$2:$B$741=Limits!$P$18)*(ROW(Daten!$B$2:$B$741)-1),COUNTIF(Daten!$B$2:$B$741,Limits!$P$18)+1-ROW(Daten!A22))),"")</f>
        <v/>
      </c>
      <c r="P97" t="str">
        <f t="array" aca="1" ref="P97" ca="1">IFERROR(INDEX(Daten!$AS$2:$AS$741,LARGE((Daten!$B$2:$B$741=Limits!$P$18)*(ROW(Daten!$B$2:$B$741)-1),COUNTIF(Daten!$B$2:$B$741,Limits!$P$18)+1-ROW(Daten!A22))),"")</f>
        <v/>
      </c>
      <c r="Q97" t="str">
        <f t="array" aca="1" ref="Q97" ca="1">IFERROR(INDEX(Daten!$AT$2:$AT$741,LARGE((Daten!$B$2:$B$741=Limits!$P$18)*(ROW(Daten!$B$2:$B$741)-1),COUNTIF(Daten!$B$2:$B$741,Limits!$P$18)+1-ROW(Daten!A22))),"")</f>
        <v/>
      </c>
    </row>
    <row r="98" spans="1:17" x14ac:dyDescent="0.25">
      <c r="B98" s="17" t="str">
        <f t="array" aca="1" ref="B98" ca="1">IFERROR(INDEX(Daten!$U$2:$U$741,LARGE((Daten!$B$2:$B$741=Limits!$P$18)*(ROW(Daten!$B$2:$B$741)-1),COUNTIF(Daten!$B$2:$B$741,Limits!$P$18)+1-ROW(Daten!A23))),"")</f>
        <v/>
      </c>
      <c r="C98" s="4"/>
      <c r="D98" s="2" t="str">
        <f t="array" aca="1" ref="D98" ca="1">IFERROR(INDEX(Daten!$AL$2:$AL$741,LARGE((Daten!$B$2:$B$741=Limits!$P$18)*(ROW(Daten!$B$2:$B$741)-1),COUNTIF(Daten!$B$2:$B$741,Limits!$P$18)+1-ROW(Daten!A23))),"")</f>
        <v/>
      </c>
      <c r="E98" s="2" t="str">
        <f t="array" aca="1" ref="E98" ca="1">IFERROR(INDEX(Daten!$AK$2:$AK$741,LARGE((Daten!$B$2:$B$741=Limits!$P$18)*(ROW(Daten!$B$2:$B$741)-1),COUNTIF(Daten!$B$2:$B$741,Limits!$P$18)+1-ROW(Daten!A23))),"")</f>
        <v/>
      </c>
      <c r="F98" s="2" t="str">
        <f t="array" aca="1" ref="F98" ca="1">IFERROR(INDEX(Daten!$AM$2:$AM$741,LARGE((Daten!$B$2:$B$741=Limits!$P$18)*(ROW(Daten!$B$2:$B$741)-1),COUNTIF(Daten!$B$2:$B$741,Limits!$P$18)+1-ROW(Daten!A23))),"")</f>
        <v/>
      </c>
      <c r="G98" s="4"/>
      <c r="H98" s="2" t="str">
        <f t="array" aca="1" ref="H98" ca="1">IFERROR(INDEX(Daten!$AN$2:$AN$741,LARGE((Daten!$B$2:$B$741=Limits!$P$18)*(ROW(Daten!$B$2:$B$741)-1),COUNTIF(Daten!$B$2:$B$741,Limits!$P$18)+1-ROW(Daten!A23))),"")</f>
        <v/>
      </c>
      <c r="I98" s="4"/>
      <c r="J98" s="2" t="str">
        <f t="array" aca="1" ref="J98" ca="1">IFERROR(INDEX(Daten!$AA$2:$AA$741,LARGE((Daten!$B$2:$B$741=Limits!$P$18)*(ROW(Daten!$B$2:$B$741)-1),COUNTIF(Daten!$B$2:$B$741,Limits!$P$18)+1-ROW(Daten!A23))),"")</f>
        <v/>
      </c>
      <c r="K98" s="14" t="str">
        <f t="array" aca="1" ref="K98" ca="1">IFERROR(INDEX(Daten!$AB$2:$AB$741,LARGE((Daten!$B$2:$B$741=Limits!$P$18)*(ROW(Daten!$B$2:$B$741)-1),COUNTIF(Daten!$B$2:$B$741,Limits!$P$18)+1-ROW(Daten!A23))),"")</f>
        <v/>
      </c>
      <c r="L98" s="10" t="str">
        <f t="array" aca="1" ref="L98" ca="1">IFERROR(INDEX(Daten!$AD$2:$AD$741,LARGE((Daten!$B$2:$B$741=Limits!$P$18)*(ROW(Daten!$B$2:$B$741)-1),COUNTIF(Daten!$B$2:$B$741,Limits!$P$18)+1-ROW(Daten!A23))),"")</f>
        <v/>
      </c>
      <c r="M98" s="14" t="str">
        <f t="array" aca="1" ref="M98" ca="1">IFERROR(INDEX(Daten!$AE$2:$AE$741,LARGE((Daten!$B$2:$B$741=Limits!$P$18)*(ROW(Daten!$B$2:$B$741)-1),COUNTIF(Daten!$B$2:$B$741,Limits!$P$18)+1-ROW(Daten!A23))),"")</f>
        <v/>
      </c>
      <c r="N98" s="2" t="str">
        <f t="array" aca="1" ref="N98" ca="1">IFERROR(INDEX(Daten!$AO$2:$AO$741,LARGE((Daten!$B$2:$B$741=Limits!$P$18)*(ROW(Daten!$B$2:$B$741)-1),COUNTIF(Daten!$B$2:$B$741,Limits!$P$18)+1-ROW(Daten!A23))),"")</f>
        <v/>
      </c>
      <c r="O98" s="18" t="str">
        <f t="array" aca="1" ref="O98" ca="1">IFERROR(INDEX(Daten!$AP$2:$AP$741,LARGE((Daten!$B$2:$B$741=Limits!$P$18)*(ROW(Daten!$B$2:$B$741)-1),COUNTIF(Daten!$B$2:$B$741,Limits!$P$18)+1-ROW(Daten!A23))),"")</f>
        <v/>
      </c>
      <c r="P98" t="str">
        <f t="array" aca="1" ref="P98" ca="1">IFERROR(INDEX(Daten!$AS$2:$AS$741,LARGE((Daten!$B$2:$B$741=Limits!$P$18)*(ROW(Daten!$B$2:$B$741)-1),COUNTIF(Daten!$B$2:$B$741,Limits!$P$18)+1-ROW(Daten!A23))),"")</f>
        <v/>
      </c>
      <c r="Q98" t="str">
        <f t="array" aca="1" ref="Q98" ca="1">IFERROR(INDEX(Daten!$AT$2:$AT$741,LARGE((Daten!$B$2:$B$741=Limits!$P$18)*(ROW(Daten!$B$2:$B$741)-1),COUNTIF(Daten!$B$2:$B$741,Limits!$P$18)+1-ROW(Daten!A23))),"")</f>
        <v/>
      </c>
    </row>
    <row r="99" spans="1:17" x14ac:dyDescent="0.25">
      <c r="B99" s="17" t="str">
        <f t="array" aca="1" ref="B99" ca="1">IFERROR(INDEX(Daten!$U$2:$U$741,LARGE((Daten!$B$2:$B$741=Limits!$P$18)*(ROW(Daten!$B$2:$B$741)-1),COUNTIF(Daten!$B$2:$B$741,Limits!$P$18)+1-ROW(Daten!A24))),"")</f>
        <v/>
      </c>
      <c r="C99" s="4"/>
      <c r="D99" s="2" t="str">
        <f t="array" aca="1" ref="D99" ca="1">IFERROR(INDEX(Daten!$AL$2:$AL$741,LARGE((Daten!$B$2:$B$741=Limits!$P$18)*(ROW(Daten!$B$2:$B$741)-1),COUNTIF(Daten!$B$2:$B$741,Limits!$P$18)+1-ROW(Daten!A24))),"")</f>
        <v/>
      </c>
      <c r="E99" s="2" t="str">
        <f t="array" aca="1" ref="E99" ca="1">IFERROR(INDEX(Daten!$AK$2:$AK$741,LARGE((Daten!$B$2:$B$741=Limits!$P$18)*(ROW(Daten!$B$2:$B$741)-1),COUNTIF(Daten!$B$2:$B$741,Limits!$P$18)+1-ROW(Daten!A24))),"")</f>
        <v/>
      </c>
      <c r="F99" s="2" t="str">
        <f t="array" aca="1" ref="F99" ca="1">IFERROR(INDEX(Daten!$AM$2:$AM$741,LARGE((Daten!$B$2:$B$741=Limits!$P$18)*(ROW(Daten!$B$2:$B$741)-1),COUNTIF(Daten!$B$2:$B$741,Limits!$P$18)+1-ROW(Daten!A24))),"")</f>
        <v/>
      </c>
      <c r="G99" s="4"/>
      <c r="H99" s="2" t="str">
        <f t="array" aca="1" ref="H99" ca="1">IFERROR(INDEX(Daten!$AN$2:$AN$741,LARGE((Daten!$B$2:$B$741=Limits!$P$18)*(ROW(Daten!$B$2:$B$741)-1),COUNTIF(Daten!$B$2:$B$741,Limits!$P$18)+1-ROW(Daten!A24))),"")</f>
        <v/>
      </c>
      <c r="I99" s="4"/>
      <c r="J99" s="2" t="str">
        <f t="array" aca="1" ref="J99" ca="1">IFERROR(INDEX(Daten!$AA$2:$AA$741,LARGE((Daten!$B$2:$B$741=Limits!$P$18)*(ROW(Daten!$B$2:$B$741)-1),COUNTIF(Daten!$B$2:$B$741,Limits!$P$18)+1-ROW(Daten!A24))),"")</f>
        <v/>
      </c>
      <c r="K99" s="14" t="str">
        <f t="array" aca="1" ref="K99" ca="1">IFERROR(INDEX(Daten!$AB$2:$AB$741,LARGE((Daten!$B$2:$B$741=Limits!$P$18)*(ROW(Daten!$B$2:$B$741)-1),COUNTIF(Daten!$B$2:$B$741,Limits!$P$18)+1-ROW(Daten!A24))),"")</f>
        <v/>
      </c>
      <c r="L99" s="10" t="str">
        <f t="array" aca="1" ref="L99" ca="1">IFERROR(INDEX(Daten!$AD$2:$AD$741,LARGE((Daten!$B$2:$B$741=Limits!$P$18)*(ROW(Daten!$B$2:$B$741)-1),COUNTIF(Daten!$B$2:$B$741,Limits!$P$18)+1-ROW(Daten!A24))),"")</f>
        <v/>
      </c>
      <c r="M99" s="14" t="str">
        <f t="array" aca="1" ref="M99" ca="1">IFERROR(INDEX(Daten!$AE$2:$AE$741,LARGE((Daten!$B$2:$B$741=Limits!$P$18)*(ROW(Daten!$B$2:$B$741)-1),COUNTIF(Daten!$B$2:$B$741,Limits!$P$18)+1-ROW(Daten!A24))),"")</f>
        <v/>
      </c>
      <c r="N99" s="2" t="str">
        <f t="array" aca="1" ref="N99" ca="1">IFERROR(INDEX(Daten!$AO$2:$AO$741,LARGE((Daten!$B$2:$B$741=Limits!$P$18)*(ROW(Daten!$B$2:$B$741)-1),COUNTIF(Daten!$B$2:$B$741,Limits!$P$18)+1-ROW(Daten!A24))),"")</f>
        <v/>
      </c>
      <c r="O99" s="18" t="str">
        <f t="array" aca="1" ref="O99" ca="1">IFERROR(INDEX(Daten!$AP$2:$AP$741,LARGE((Daten!$B$2:$B$741=Limits!$P$18)*(ROW(Daten!$B$2:$B$741)-1),COUNTIF(Daten!$B$2:$B$741,Limits!$P$18)+1-ROW(Daten!A24))),"")</f>
        <v/>
      </c>
      <c r="P99" t="str">
        <f t="array" aca="1" ref="P99" ca="1">IFERROR(INDEX(Daten!$AS$2:$AS$741,LARGE((Daten!$B$2:$B$741=Limits!$P$18)*(ROW(Daten!$B$2:$B$741)-1),COUNTIF(Daten!$B$2:$B$741,Limits!$P$18)+1-ROW(Daten!A24))),"")</f>
        <v/>
      </c>
      <c r="Q99" t="str">
        <f t="array" aca="1" ref="Q99" ca="1">IFERROR(INDEX(Daten!$AT$2:$AT$741,LARGE((Daten!$B$2:$B$741=Limits!$P$18)*(ROW(Daten!$B$2:$B$741)-1),COUNTIF(Daten!$B$2:$B$741,Limits!$P$18)+1-ROW(Daten!A24))),"")</f>
        <v/>
      </c>
    </row>
    <row r="100" spans="1:17" x14ac:dyDescent="0.25">
      <c r="B100" s="17" t="str">
        <f t="array" aca="1" ref="B100" ca="1">IFERROR(INDEX(Daten!$U$2:$U$741,LARGE((Daten!$B$2:$B$741=Limits!$P$18)*(ROW(Daten!$B$2:$B$741)-1),COUNTIF(Daten!$B$2:$B$741,Limits!$P$18)+1-ROW(Daten!A25))),"")</f>
        <v/>
      </c>
      <c r="C100" s="4"/>
      <c r="D100" s="2" t="str">
        <f t="array" aca="1" ref="D100" ca="1">IFERROR(INDEX(Daten!$AL$2:$AL$741,LARGE((Daten!$B$2:$B$741=Limits!$P$18)*(ROW(Daten!$B$2:$B$741)-1),COUNTIF(Daten!$B$2:$B$741,Limits!$P$18)+1-ROW(Daten!A25))),"")</f>
        <v/>
      </c>
      <c r="E100" s="2" t="str">
        <f t="array" aca="1" ref="E100" ca="1">IFERROR(INDEX(Daten!$AK$2:$AK$741,LARGE((Daten!$B$2:$B$741=Limits!$P$18)*(ROW(Daten!$B$2:$B$741)-1),COUNTIF(Daten!$B$2:$B$741,Limits!$P$18)+1-ROW(Daten!A25))),"")</f>
        <v/>
      </c>
      <c r="F100" s="2" t="str">
        <f t="array" aca="1" ref="F100" ca="1">IFERROR(INDEX(Daten!$AM$2:$AM$741,LARGE((Daten!$B$2:$B$741=Limits!$P$18)*(ROW(Daten!$B$2:$B$741)-1),COUNTIF(Daten!$B$2:$B$741,Limits!$P$18)+1-ROW(Daten!A25))),"")</f>
        <v/>
      </c>
      <c r="G100" s="4"/>
      <c r="H100" s="2" t="str">
        <f t="array" aca="1" ref="H100" ca="1">IFERROR(INDEX(Daten!$AN$2:$AN$741,LARGE((Daten!$B$2:$B$741=Limits!$P$18)*(ROW(Daten!$B$2:$B$741)-1),COUNTIF(Daten!$B$2:$B$741,Limits!$P$18)+1-ROW(Daten!A25))),"")</f>
        <v/>
      </c>
      <c r="I100" s="4"/>
      <c r="J100" s="2" t="str">
        <f t="array" aca="1" ref="J100" ca="1">IFERROR(INDEX(Daten!$AA$2:$AA$741,LARGE((Daten!$B$2:$B$741=Limits!$P$18)*(ROW(Daten!$B$2:$B$741)-1),COUNTIF(Daten!$B$2:$B$741,Limits!$P$18)+1-ROW(Daten!A25))),"")</f>
        <v/>
      </c>
      <c r="K100" s="14" t="str">
        <f t="array" aca="1" ref="K100" ca="1">IFERROR(INDEX(Daten!$AB$2:$AB$741,LARGE((Daten!$B$2:$B$741=Limits!$P$18)*(ROW(Daten!$B$2:$B$741)-1),COUNTIF(Daten!$B$2:$B$741,Limits!$P$18)+1-ROW(Daten!A25))),"")</f>
        <v/>
      </c>
      <c r="L100" s="10" t="str">
        <f t="array" aca="1" ref="L100" ca="1">IFERROR(INDEX(Daten!$AD$2:$AD$741,LARGE((Daten!$B$2:$B$741=Limits!$P$18)*(ROW(Daten!$B$2:$B$741)-1),COUNTIF(Daten!$B$2:$B$741,Limits!$P$18)+1-ROW(Daten!A25))),"")</f>
        <v/>
      </c>
      <c r="M100" s="14" t="str">
        <f t="array" aca="1" ref="M100" ca="1">IFERROR(INDEX(Daten!$AE$2:$AE$741,LARGE((Daten!$B$2:$B$741=Limits!$P$18)*(ROW(Daten!$B$2:$B$741)-1),COUNTIF(Daten!$B$2:$B$741,Limits!$P$18)+1-ROW(Daten!A25))),"")</f>
        <v/>
      </c>
      <c r="N100" s="2" t="str">
        <f t="array" aca="1" ref="N100" ca="1">IFERROR(INDEX(Daten!$AO$2:$AO$741,LARGE((Daten!$B$2:$B$741=Limits!$P$18)*(ROW(Daten!$B$2:$B$741)-1),COUNTIF(Daten!$B$2:$B$741,Limits!$P$18)+1-ROW(Daten!A25))),"")</f>
        <v/>
      </c>
      <c r="O100" s="18" t="str">
        <f t="array" aca="1" ref="O100" ca="1">IFERROR(INDEX(Daten!$AP$2:$AP$741,LARGE((Daten!$B$2:$B$741=Limits!$P$18)*(ROW(Daten!$B$2:$B$741)-1),COUNTIF(Daten!$B$2:$B$741,Limits!$P$18)+1-ROW(Daten!A25))),"")</f>
        <v/>
      </c>
      <c r="P100" t="str">
        <f t="array" aca="1" ref="P100" ca="1">IFERROR(INDEX(Daten!$AS$2:$AS$741,LARGE((Daten!$B$2:$B$741=Limits!$P$18)*(ROW(Daten!$B$2:$B$741)-1),COUNTIF(Daten!$B$2:$B$741,Limits!$P$18)+1-ROW(Daten!A25))),"")</f>
        <v/>
      </c>
      <c r="Q100" t="str">
        <f t="array" aca="1" ref="Q100" ca="1">IFERROR(INDEX(Daten!$AT$2:$AT$741,LARGE((Daten!$B$2:$B$741=Limits!$P$18)*(ROW(Daten!$B$2:$B$741)-1),COUNTIF(Daten!$B$2:$B$741,Limits!$P$18)+1-ROW(Daten!A25))),"")</f>
        <v/>
      </c>
    </row>
    <row r="101" spans="1:17" x14ac:dyDescent="0.25">
      <c r="B101" s="17" t="str">
        <f t="array" aca="1" ref="B101" ca="1">IFERROR(INDEX(Daten!$U$2:$U$741,LARGE((Daten!$B$2:$B$741=Limits!$P$18)*(ROW(Daten!$B$2:$B$741)-1),COUNTIF(Daten!$B$2:$B$741,Limits!$P$18)+1-ROW(Daten!A26))),"")</f>
        <v/>
      </c>
      <c r="C101" s="4"/>
      <c r="D101" s="2" t="str">
        <f t="array" aca="1" ref="D101" ca="1">IFERROR(INDEX(Daten!$AL$2:$AL$741,LARGE((Daten!$B$2:$B$741=Limits!$P$18)*(ROW(Daten!$B$2:$B$741)-1),COUNTIF(Daten!$B$2:$B$741,Limits!$P$18)+1-ROW(Daten!A26))),"")</f>
        <v/>
      </c>
      <c r="E101" s="2" t="str">
        <f t="array" aca="1" ref="E101" ca="1">IFERROR(INDEX(Daten!$AK$2:$AK$741,LARGE((Daten!$B$2:$B$741=Limits!$P$18)*(ROW(Daten!$B$2:$B$741)-1),COUNTIF(Daten!$B$2:$B$741,Limits!$P$18)+1-ROW(Daten!A26))),"")</f>
        <v/>
      </c>
      <c r="F101" s="2" t="str">
        <f t="array" aca="1" ref="F101" ca="1">IFERROR(INDEX(Daten!$AM$2:$AM$741,LARGE((Daten!$B$2:$B$741=Limits!$P$18)*(ROW(Daten!$B$2:$B$741)-1),COUNTIF(Daten!$B$2:$B$741,Limits!$P$18)+1-ROW(Daten!A26))),"")</f>
        <v/>
      </c>
      <c r="G101" s="4"/>
      <c r="H101" s="2" t="str">
        <f t="array" aca="1" ref="H101" ca="1">IFERROR(INDEX(Daten!$AN$2:$AN$741,LARGE((Daten!$B$2:$B$741=Limits!$P$18)*(ROW(Daten!$B$2:$B$741)-1),COUNTIF(Daten!$B$2:$B$741,Limits!$P$18)+1-ROW(Daten!A26))),"")</f>
        <v/>
      </c>
      <c r="I101" s="4"/>
      <c r="J101" s="2" t="str">
        <f t="array" aca="1" ref="J101" ca="1">IFERROR(INDEX(Daten!$AA$2:$AA$741,LARGE((Daten!$B$2:$B$741=Limits!$P$18)*(ROW(Daten!$B$2:$B$741)-1),COUNTIF(Daten!$B$2:$B$741,Limits!$P$18)+1-ROW(Daten!A26))),"")</f>
        <v/>
      </c>
      <c r="K101" s="14" t="str">
        <f t="array" aca="1" ref="K101" ca="1">IFERROR(INDEX(Daten!$AB$2:$AB$741,LARGE((Daten!$B$2:$B$741=Limits!$P$18)*(ROW(Daten!$B$2:$B$741)-1),COUNTIF(Daten!$B$2:$B$741,Limits!$P$18)+1-ROW(Daten!A26))),"")</f>
        <v/>
      </c>
      <c r="L101" s="10" t="str">
        <f t="array" aca="1" ref="L101" ca="1">IFERROR(INDEX(Daten!$AD$2:$AD$741,LARGE((Daten!$B$2:$B$741=Limits!$P$18)*(ROW(Daten!$B$2:$B$741)-1),COUNTIF(Daten!$B$2:$B$741,Limits!$P$18)+1-ROW(Daten!A26))),"")</f>
        <v/>
      </c>
      <c r="M101" s="14" t="str">
        <f t="array" aca="1" ref="M101" ca="1">IFERROR(INDEX(Daten!$AE$2:$AE$741,LARGE((Daten!$B$2:$B$741=Limits!$P$18)*(ROW(Daten!$B$2:$B$741)-1),COUNTIF(Daten!$B$2:$B$741,Limits!$P$18)+1-ROW(Daten!A26))),"")</f>
        <v/>
      </c>
      <c r="N101" s="2" t="str">
        <f t="array" aca="1" ref="N101" ca="1">IFERROR(INDEX(Daten!$AO$2:$AO$741,LARGE((Daten!$B$2:$B$741=Limits!$P$18)*(ROW(Daten!$B$2:$B$741)-1),COUNTIF(Daten!$B$2:$B$741,Limits!$P$18)+1-ROW(Daten!A26))),"")</f>
        <v/>
      </c>
      <c r="O101" s="18" t="str">
        <f t="array" aca="1" ref="O101" ca="1">IFERROR(INDEX(Daten!$AP$2:$AP$741,LARGE((Daten!$B$2:$B$741=Limits!$P$18)*(ROW(Daten!$B$2:$B$741)-1),COUNTIF(Daten!$B$2:$B$741,Limits!$P$18)+1-ROW(Daten!A26))),"")</f>
        <v/>
      </c>
      <c r="P101" t="str">
        <f t="array" aca="1" ref="P101" ca="1">IFERROR(INDEX(Daten!$AS$2:$AS$741,LARGE((Daten!$B$2:$B$741=Limits!$P$18)*(ROW(Daten!$B$2:$B$741)-1),COUNTIF(Daten!$B$2:$B$741,Limits!$P$18)+1-ROW(Daten!A26))),"")</f>
        <v/>
      </c>
      <c r="Q101" t="str">
        <f t="array" aca="1" ref="Q101" ca="1">IFERROR(INDEX(Daten!$AT$2:$AT$741,LARGE((Daten!$B$2:$B$741=Limits!$P$18)*(ROW(Daten!$B$2:$B$741)-1),COUNTIF(Daten!$B$2:$B$741,Limits!$P$18)+1-ROW(Daten!A26))),"")</f>
        <v/>
      </c>
    </row>
    <row r="102" spans="1:17" x14ac:dyDescent="0.25">
      <c r="B102" s="17" t="str">
        <f t="array" aca="1" ref="B102" ca="1">IFERROR(INDEX(Daten!$U$2:$U$741,LARGE((Daten!$B$2:$B$741=Limits!$P$18)*(ROW(Daten!$B$2:$B$741)-1),COUNTIF(Daten!$B$2:$B$741,Limits!$P$18)+1-ROW(Daten!A27))),"")</f>
        <v/>
      </c>
      <c r="C102" s="4"/>
      <c r="D102" s="2" t="str">
        <f t="array" aca="1" ref="D102" ca="1">IFERROR(INDEX(Daten!$AL$2:$AL$741,LARGE((Daten!$B$2:$B$741=Limits!$P$18)*(ROW(Daten!$B$2:$B$741)-1),COUNTIF(Daten!$B$2:$B$741,Limits!$P$18)+1-ROW(Daten!A27))),"")</f>
        <v/>
      </c>
      <c r="E102" s="2" t="str">
        <f t="array" aca="1" ref="E102" ca="1">IFERROR(INDEX(Daten!$AK$2:$AK$741,LARGE((Daten!$B$2:$B$741=Limits!$P$18)*(ROW(Daten!$B$2:$B$741)-1),COUNTIF(Daten!$B$2:$B$741,Limits!$P$18)+1-ROW(Daten!A27))),"")</f>
        <v/>
      </c>
      <c r="F102" s="2" t="str">
        <f t="array" aca="1" ref="F102" ca="1">IFERROR(INDEX(Daten!$AM$2:$AM$741,LARGE((Daten!$B$2:$B$741=Limits!$P$18)*(ROW(Daten!$B$2:$B$741)-1),COUNTIF(Daten!$B$2:$B$741,Limits!$P$18)+1-ROW(Daten!A27))),"")</f>
        <v/>
      </c>
      <c r="G102" s="4"/>
      <c r="H102" s="2" t="str">
        <f t="array" aca="1" ref="H102" ca="1">IFERROR(INDEX(Daten!$AN$2:$AN$741,LARGE((Daten!$B$2:$B$741=Limits!$P$18)*(ROW(Daten!$B$2:$B$741)-1),COUNTIF(Daten!$B$2:$B$741,Limits!$P$18)+1-ROW(Daten!A27))),"")</f>
        <v/>
      </c>
      <c r="I102" s="4"/>
      <c r="J102" s="2" t="str">
        <f t="array" aca="1" ref="J102" ca="1">IFERROR(INDEX(Daten!$AA$2:$AA$741,LARGE((Daten!$B$2:$B$741=Limits!$P$18)*(ROW(Daten!$B$2:$B$741)-1),COUNTIF(Daten!$B$2:$B$741,Limits!$P$18)+1-ROW(Daten!A27))),"")</f>
        <v/>
      </c>
      <c r="K102" s="14" t="str">
        <f t="array" aca="1" ref="K102" ca="1">IFERROR(INDEX(Daten!$AB$2:$AB$741,LARGE((Daten!$B$2:$B$741=Limits!$P$18)*(ROW(Daten!$B$2:$B$741)-1),COUNTIF(Daten!$B$2:$B$741,Limits!$P$18)+1-ROW(Daten!A27))),"")</f>
        <v/>
      </c>
      <c r="L102" s="10" t="str">
        <f t="array" aca="1" ref="L102" ca="1">IFERROR(INDEX(Daten!$AD$2:$AD$741,LARGE((Daten!$B$2:$B$741=Limits!$P$18)*(ROW(Daten!$B$2:$B$741)-1),COUNTIF(Daten!$B$2:$B$741,Limits!$P$18)+1-ROW(Daten!A27))),"")</f>
        <v/>
      </c>
      <c r="M102" s="14" t="str">
        <f t="array" aca="1" ref="M102" ca="1">IFERROR(INDEX(Daten!$AE$2:$AE$741,LARGE((Daten!$B$2:$B$741=Limits!$P$18)*(ROW(Daten!$B$2:$B$741)-1),COUNTIF(Daten!$B$2:$B$741,Limits!$P$18)+1-ROW(Daten!A27))),"")</f>
        <v/>
      </c>
      <c r="N102" s="2" t="str">
        <f t="array" aca="1" ref="N102" ca="1">IFERROR(INDEX(Daten!$AO$2:$AO$741,LARGE((Daten!$B$2:$B$741=Limits!$P$18)*(ROW(Daten!$B$2:$B$741)-1),COUNTIF(Daten!$B$2:$B$741,Limits!$P$18)+1-ROW(Daten!A27))),"")</f>
        <v/>
      </c>
      <c r="O102" s="18" t="str">
        <f t="array" aca="1" ref="O102" ca="1">IFERROR(INDEX(Daten!$AP$2:$AP$741,LARGE((Daten!$B$2:$B$741=Limits!$P$18)*(ROW(Daten!$B$2:$B$741)-1),COUNTIF(Daten!$B$2:$B$741,Limits!$P$18)+1-ROW(Daten!A27))),"")</f>
        <v/>
      </c>
      <c r="P102" t="str">
        <f t="array" aca="1" ref="P102" ca="1">IFERROR(INDEX(Daten!$AS$2:$AS$741,LARGE((Daten!$B$2:$B$741=Limits!$P$18)*(ROW(Daten!$B$2:$B$741)-1),COUNTIF(Daten!$B$2:$B$741,Limits!$P$18)+1-ROW(Daten!A27))),"")</f>
        <v/>
      </c>
      <c r="Q102" t="str">
        <f t="array" aca="1" ref="Q102" ca="1">IFERROR(INDEX(Daten!$AT$2:$AT$741,LARGE((Daten!$B$2:$B$741=Limits!$P$18)*(ROW(Daten!$B$2:$B$741)-1),COUNTIF(Daten!$B$2:$B$741,Limits!$P$18)+1-ROW(Daten!A27))),"")</f>
        <v/>
      </c>
    </row>
    <row r="103" spans="1:17" x14ac:dyDescent="0.25">
      <c r="B103" s="17" t="str">
        <f t="array" aca="1" ref="B103" ca="1">IFERROR(INDEX(Daten!$U$2:$U$741,LARGE((Daten!$B$2:$B$741=Limits!$P$18)*(ROW(Daten!$B$2:$B$741)-1),COUNTIF(Daten!$B$2:$B$741,Limits!$P$18)+1-ROW(Daten!A28))),"")</f>
        <v/>
      </c>
      <c r="C103" s="4"/>
      <c r="D103" s="2" t="str">
        <f t="array" aca="1" ref="D103" ca="1">IFERROR(INDEX(Daten!$AL$2:$AL$741,LARGE((Daten!$B$2:$B$741=Limits!$P$18)*(ROW(Daten!$B$2:$B$741)-1),COUNTIF(Daten!$B$2:$B$741,Limits!$P$18)+1-ROW(Daten!A28))),"")</f>
        <v/>
      </c>
      <c r="E103" s="2" t="str">
        <f t="array" aca="1" ref="E103" ca="1">IFERROR(INDEX(Daten!$AK$2:$AK$741,LARGE((Daten!$B$2:$B$741=Limits!$P$18)*(ROW(Daten!$B$2:$B$741)-1),COUNTIF(Daten!$B$2:$B$741,Limits!$P$18)+1-ROW(Daten!A28))),"")</f>
        <v/>
      </c>
      <c r="F103" s="2" t="str">
        <f t="array" aca="1" ref="F103" ca="1">IFERROR(INDEX(Daten!$AM$2:$AM$741,LARGE((Daten!$B$2:$B$741=Limits!$P$18)*(ROW(Daten!$B$2:$B$741)-1),COUNTIF(Daten!$B$2:$B$741,Limits!$P$18)+1-ROW(Daten!A28))),"")</f>
        <v/>
      </c>
      <c r="G103" s="4"/>
      <c r="H103" s="2" t="str">
        <f t="array" aca="1" ref="H103" ca="1">IFERROR(INDEX(Daten!$AN$2:$AN$741,LARGE((Daten!$B$2:$B$741=Limits!$P$18)*(ROW(Daten!$B$2:$B$741)-1),COUNTIF(Daten!$B$2:$B$741,Limits!$P$18)+1-ROW(Daten!A28))),"")</f>
        <v/>
      </c>
      <c r="I103" s="4"/>
      <c r="J103" s="2" t="str">
        <f t="array" aca="1" ref="J103" ca="1">IFERROR(INDEX(Daten!$AA$2:$AA$741,LARGE((Daten!$B$2:$B$741=Limits!$P$18)*(ROW(Daten!$B$2:$B$741)-1),COUNTIF(Daten!$B$2:$B$741,Limits!$P$18)+1-ROW(Daten!A28))),"")</f>
        <v/>
      </c>
      <c r="K103" s="14" t="str">
        <f t="array" aca="1" ref="K103" ca="1">IFERROR(INDEX(Daten!$AB$2:$AB$741,LARGE((Daten!$B$2:$B$741=Limits!$P$18)*(ROW(Daten!$B$2:$B$741)-1),COUNTIF(Daten!$B$2:$B$741,Limits!$P$18)+1-ROW(Daten!A28))),"")</f>
        <v/>
      </c>
      <c r="L103" s="10" t="str">
        <f t="array" aca="1" ref="L103" ca="1">IFERROR(INDEX(Daten!$AD$2:$AD$741,LARGE((Daten!$B$2:$B$741=Limits!$P$18)*(ROW(Daten!$B$2:$B$741)-1),COUNTIF(Daten!$B$2:$B$741,Limits!$P$18)+1-ROW(Daten!A28))),"")</f>
        <v/>
      </c>
      <c r="M103" s="14" t="str">
        <f t="array" aca="1" ref="M103" ca="1">IFERROR(INDEX(Daten!$AE$2:$AE$741,LARGE((Daten!$B$2:$B$741=Limits!$P$18)*(ROW(Daten!$B$2:$B$741)-1),COUNTIF(Daten!$B$2:$B$741,Limits!$P$18)+1-ROW(Daten!A28))),"")</f>
        <v/>
      </c>
      <c r="N103" s="2" t="str">
        <f t="array" aca="1" ref="N103" ca="1">IFERROR(INDEX(Daten!$AO$2:$AO$741,LARGE((Daten!$B$2:$B$741=Limits!$P$18)*(ROW(Daten!$B$2:$B$741)-1),COUNTIF(Daten!$B$2:$B$741,Limits!$P$18)+1-ROW(Daten!A28))),"")</f>
        <v/>
      </c>
      <c r="O103" s="18" t="str">
        <f t="array" aca="1" ref="O103" ca="1">IFERROR(INDEX(Daten!$AP$2:$AP$741,LARGE((Daten!$B$2:$B$741=Limits!$P$18)*(ROW(Daten!$B$2:$B$741)-1),COUNTIF(Daten!$B$2:$B$741,Limits!$P$18)+1-ROW(Daten!A28))),"")</f>
        <v/>
      </c>
      <c r="P103" t="str">
        <f t="array" aca="1" ref="P103" ca="1">IFERROR(INDEX(Daten!$AS$2:$AS$741,LARGE((Daten!$B$2:$B$741=Limits!$P$18)*(ROW(Daten!$B$2:$B$741)-1),COUNTIF(Daten!$B$2:$B$741,Limits!$P$18)+1-ROW(Daten!A28))),"")</f>
        <v/>
      </c>
      <c r="Q103" t="str">
        <f t="array" aca="1" ref="Q103" ca="1">IFERROR(INDEX(Daten!$AT$2:$AT$741,LARGE((Daten!$B$2:$B$741=Limits!$P$18)*(ROW(Daten!$B$2:$B$741)-1),COUNTIF(Daten!$B$2:$B$741,Limits!$P$18)+1-ROW(Daten!A28))),"")</f>
        <v/>
      </c>
    </row>
    <row r="104" spans="1:17" x14ac:dyDescent="0.25">
      <c r="B104" s="17" t="str">
        <f t="array" aca="1" ref="B104" ca="1">IFERROR(INDEX(Daten!$U$2:$U$741,LARGE((Daten!$B$2:$B$741=Limits!$P$18)*(ROW(Daten!$B$2:$B$741)-1),COUNTIF(Daten!$B$2:$B$741,Limits!$P$18)+1-ROW(Daten!A29))),"")</f>
        <v/>
      </c>
      <c r="C104" s="4"/>
      <c r="D104" s="2" t="str">
        <f t="array" aca="1" ref="D104" ca="1">IFERROR(INDEX(Daten!$AL$2:$AL$741,LARGE((Daten!$B$2:$B$741=Limits!$P$18)*(ROW(Daten!$B$2:$B$741)-1),COUNTIF(Daten!$B$2:$B$741,Limits!$P$18)+1-ROW(Daten!A29))),"")</f>
        <v/>
      </c>
      <c r="E104" s="2" t="str">
        <f t="array" aca="1" ref="E104" ca="1">IFERROR(INDEX(Daten!$AK$2:$AK$741,LARGE((Daten!$B$2:$B$741=Limits!$P$18)*(ROW(Daten!$B$2:$B$741)-1),COUNTIF(Daten!$B$2:$B$741,Limits!$P$18)+1-ROW(Daten!A29))),"")</f>
        <v/>
      </c>
      <c r="F104" s="2" t="str">
        <f t="array" aca="1" ref="F104" ca="1">IFERROR(INDEX(Daten!$AM$2:$AM$741,LARGE((Daten!$B$2:$B$741=Limits!$P$18)*(ROW(Daten!$B$2:$B$741)-1),COUNTIF(Daten!$B$2:$B$741,Limits!$P$18)+1-ROW(Daten!A29))),"")</f>
        <v/>
      </c>
      <c r="G104" s="4"/>
      <c r="H104" s="2" t="str">
        <f t="array" aca="1" ref="H104" ca="1">IFERROR(INDEX(Daten!$AN$2:$AN$741,LARGE((Daten!$B$2:$B$741=Limits!$P$18)*(ROW(Daten!$B$2:$B$741)-1),COUNTIF(Daten!$B$2:$B$741,Limits!$P$18)+1-ROW(Daten!A29))),"")</f>
        <v/>
      </c>
      <c r="I104" s="4"/>
      <c r="J104" s="2" t="str">
        <f t="array" aca="1" ref="J104" ca="1">IFERROR(INDEX(Daten!$AA$2:$AA$741,LARGE((Daten!$B$2:$B$741=Limits!$P$18)*(ROW(Daten!$B$2:$B$741)-1),COUNTIF(Daten!$B$2:$B$741,Limits!$P$18)+1-ROW(Daten!A29))),"")</f>
        <v/>
      </c>
      <c r="K104" s="14" t="str">
        <f t="array" aca="1" ref="K104" ca="1">IFERROR(INDEX(Daten!$AB$2:$AB$741,LARGE((Daten!$B$2:$B$741=Limits!$P$18)*(ROW(Daten!$B$2:$B$741)-1),COUNTIF(Daten!$B$2:$B$741,Limits!$P$18)+1-ROW(Daten!A29))),"")</f>
        <v/>
      </c>
      <c r="L104" s="10" t="str">
        <f t="array" aca="1" ref="L104" ca="1">IFERROR(INDEX(Daten!$AD$2:$AD$741,LARGE((Daten!$B$2:$B$741=Limits!$P$18)*(ROW(Daten!$B$2:$B$741)-1),COUNTIF(Daten!$B$2:$B$741,Limits!$P$18)+1-ROW(Daten!A29))),"")</f>
        <v/>
      </c>
      <c r="M104" s="14" t="str">
        <f t="array" aca="1" ref="M104" ca="1">IFERROR(INDEX(Daten!$AE$2:$AE$741,LARGE((Daten!$B$2:$B$741=Limits!$P$18)*(ROW(Daten!$B$2:$B$741)-1),COUNTIF(Daten!$B$2:$B$741,Limits!$P$18)+1-ROW(Daten!A29))),"")</f>
        <v/>
      </c>
      <c r="N104" s="2" t="str">
        <f t="array" aca="1" ref="N104" ca="1">IFERROR(INDEX(Daten!$AO$2:$AO$741,LARGE((Daten!$B$2:$B$741=Limits!$P$18)*(ROW(Daten!$B$2:$B$741)-1),COUNTIF(Daten!$B$2:$B$741,Limits!$P$18)+1-ROW(Daten!A29))),"")</f>
        <v/>
      </c>
      <c r="O104" s="18" t="str">
        <f t="array" aca="1" ref="O104" ca="1">IFERROR(INDEX(Daten!$AP$2:$AP$741,LARGE((Daten!$B$2:$B$741=Limits!$P$18)*(ROW(Daten!$B$2:$B$741)-1),COUNTIF(Daten!$B$2:$B$741,Limits!$P$18)+1-ROW(Daten!A29))),"")</f>
        <v/>
      </c>
      <c r="P104" t="str">
        <f t="array" aca="1" ref="P104" ca="1">IFERROR(INDEX(Daten!$AS$2:$AS$741,LARGE((Daten!$B$2:$B$741=Limits!$P$18)*(ROW(Daten!$B$2:$B$741)-1),COUNTIF(Daten!$B$2:$B$741,Limits!$P$18)+1-ROW(Daten!A29))),"")</f>
        <v/>
      </c>
      <c r="Q104" t="str">
        <f t="array" aca="1" ref="Q104" ca="1">IFERROR(INDEX(Daten!$AT$2:$AT$741,LARGE((Daten!$B$2:$B$741=Limits!$P$18)*(ROW(Daten!$B$2:$B$741)-1),COUNTIF(Daten!$B$2:$B$741,Limits!$P$18)+1-ROW(Daten!A29))),"")</f>
        <v/>
      </c>
    </row>
    <row r="105" spans="1:17" x14ac:dyDescent="0.25">
      <c r="B105" s="17" t="str">
        <f t="array" aca="1" ref="B105" ca="1">IFERROR(INDEX(Daten!$U$2:$U$741,LARGE((Daten!$B$2:$B$741=Limits!$P$18)*(ROW(Daten!$B$2:$B$741)-1),COUNTIF(Daten!$B$2:$B$741,Limits!$P$18)+1-ROW(Daten!A58))),"")</f>
        <v/>
      </c>
      <c r="C105" s="4"/>
      <c r="D105" s="2" t="str">
        <f t="array" aca="1" ref="D105" ca="1">IFERROR(INDEX(Daten!$AL$2:$AL$741,LARGE((Daten!$B$2:$B$741=Limits!$P$18)*(ROW(Daten!$B$2:$B$741)-1),COUNTIF(Daten!$B$2:$B$741,Limits!$P$18)+1-ROW(Daten!A58))),"")</f>
        <v/>
      </c>
      <c r="E105" s="2" t="str">
        <f t="array" aca="1" ref="E105" ca="1">IFERROR(INDEX(Daten!$AK$2:$AK$741,LARGE((Daten!$B$2:$B$741=Limits!$P$18)*(ROW(Daten!$B$2:$B$741)-1),COUNTIF(Daten!$B$2:$B$741,Limits!$P$18)+1-ROW(Daten!A58))),"")</f>
        <v/>
      </c>
      <c r="F105" s="2" t="str">
        <f t="array" aca="1" ref="F105" ca="1">IFERROR(INDEX(Daten!$AM$2:$AM$741,LARGE((Daten!$B$2:$B$741=Limits!$P$18)*(ROW(Daten!$B$2:$B$741)-1),COUNTIF(Daten!$B$2:$B$741,Limits!$P$18)+1-ROW(Daten!A58))),"")</f>
        <v/>
      </c>
      <c r="G105" s="4"/>
      <c r="H105" s="2" t="str">
        <f t="array" aca="1" ref="H105" ca="1">IFERROR(INDEX(Daten!$AN$2:$AN$741,LARGE((Daten!$B$2:$B$741=Limits!$P$18)*(ROW(Daten!$B$2:$B$741)-1),COUNTIF(Daten!$B$2:$B$741,Limits!$P$18)+1-ROW(Daten!A58))),"")</f>
        <v/>
      </c>
      <c r="I105" s="4"/>
      <c r="J105" s="2" t="str">
        <f t="array" aca="1" ref="J105" ca="1">IFERROR(INDEX(Daten!$AA$2:$AA$741,LARGE((Daten!$B$2:$B$741=Limits!$P$18)*(ROW(Daten!$B$2:$B$741)-1),COUNTIF(Daten!$B$2:$B$741,Limits!$P$18)+1-ROW(Daten!A58))),"")</f>
        <v/>
      </c>
      <c r="K105" s="14" t="str">
        <f t="array" aca="1" ref="K105" ca="1">IFERROR(INDEX(Daten!$AB$2:$AB$741,LARGE((Daten!$B$2:$B$741=Limits!$P$18)*(ROW(Daten!$B$2:$B$741)-1),COUNTIF(Daten!$B$2:$B$741,Limits!$P$18)+1-ROW(Daten!A58))),"")</f>
        <v/>
      </c>
      <c r="L105" s="10" t="str">
        <f t="array" aca="1" ref="L105" ca="1">IFERROR(INDEX(Daten!$AD$2:$AD$741,LARGE((Daten!$B$2:$B$741=Limits!$P$18)*(ROW(Daten!$B$2:$B$741)-1),COUNTIF(Daten!$B$2:$B$741,Limits!$P$18)+1-ROW(Daten!A58))),"")</f>
        <v/>
      </c>
      <c r="M105" s="14" t="str">
        <f t="array" aca="1" ref="M105" ca="1">IFERROR(INDEX(Daten!$AE$2:$AE$741,LARGE((Daten!$B$2:$B$741=Limits!$P$18)*(ROW(Daten!$B$2:$B$741)-1),COUNTIF(Daten!$B$2:$B$741,Limits!$P$18)+1-ROW(Daten!A58))),"")</f>
        <v/>
      </c>
      <c r="N105" s="2" t="str">
        <f t="array" aca="1" ref="N105" ca="1">IFERROR(INDEX(Daten!$AO$2:$AO$741,LARGE((Daten!$B$2:$B$741=Limits!$P$18)*(ROW(Daten!$B$2:$B$741)-1),COUNTIF(Daten!$B$2:$B$741,Limits!$P$18)+1-ROW(Daten!A58))),"")</f>
        <v/>
      </c>
      <c r="O105" s="18" t="str">
        <f t="array" aca="1" ref="O105" ca="1">IFERROR(INDEX(Daten!$AP$2:$AP$741,LARGE((Daten!$B$2:$B$741=Limits!$P$18)*(ROW(Daten!$B$2:$B$741)-1),COUNTIF(Daten!$B$2:$B$741,Limits!$P$18)+1-ROW(Daten!A58))),"")</f>
        <v/>
      </c>
      <c r="P105" t="str">
        <f t="array" aca="1" ref="P105" ca="1">IFERROR(INDEX(Daten!$AS$2:$AS$741,LARGE((Daten!$B$2:$B$741=Limits!$P$18)*(ROW(Daten!$B$2:$B$741)-1),COUNTIF(Daten!$B$2:$B$741,Limits!$P$18)+1-ROW(Daten!A58))),"")</f>
        <v/>
      </c>
      <c r="Q105" t="str">
        <f t="array" aca="1" ref="Q105" ca="1">IFERROR(INDEX(Daten!$AT$2:$AT$741,LARGE((Daten!$B$2:$B$741=Limits!$P$18)*(ROW(Daten!$B$2:$B$741)-1),COUNTIF(Daten!$B$2:$B$741,Limits!$P$18)+1-ROW(Daten!A58))),"")</f>
        <v/>
      </c>
    </row>
    <row r="106" spans="1:17" x14ac:dyDescent="0.25">
      <c r="B106" s="17" t="str">
        <f t="array" aca="1" ref="B106" ca="1">IFERROR(INDEX(Daten!$U$2:$U$741,LARGE((Daten!$B$2:$B$741=Limits!$P$18)*(ROW(Daten!$B$2:$B$741)-1),COUNTIF(Daten!$B$2:$B$741,Limits!$P$18)+1-ROW(Daten!A59))),"")</f>
        <v/>
      </c>
      <c r="C106" s="4"/>
      <c r="D106" s="2" t="str">
        <f t="array" aca="1" ref="D106" ca="1">IFERROR(INDEX(Daten!$AL$2:$AL$741,LARGE((Daten!$B$2:$B$741=Limits!$P$18)*(ROW(Daten!$B$2:$B$741)-1),COUNTIF(Daten!$B$2:$B$741,Limits!$P$18)+1-ROW(Daten!A59))),"")</f>
        <v/>
      </c>
      <c r="E106" s="2" t="str">
        <f t="array" aca="1" ref="E106" ca="1">IFERROR(INDEX(Daten!$AK$2:$AK$741,LARGE((Daten!$B$2:$B$741=Limits!$P$18)*(ROW(Daten!$B$2:$B$741)-1),COUNTIF(Daten!$B$2:$B$741,Limits!$P$18)+1-ROW(Daten!A59))),"")</f>
        <v/>
      </c>
      <c r="F106" s="2" t="str">
        <f t="array" aca="1" ref="F106" ca="1">IFERROR(INDEX(Daten!$AM$2:$AM$741,LARGE((Daten!$B$2:$B$741=Limits!$P$18)*(ROW(Daten!$B$2:$B$741)-1),COUNTIF(Daten!$B$2:$B$741,Limits!$P$18)+1-ROW(Daten!A59))),"")</f>
        <v/>
      </c>
      <c r="G106" s="4"/>
      <c r="H106" s="2" t="str">
        <f t="array" aca="1" ref="H106" ca="1">IFERROR(INDEX(Daten!$AN$2:$AN$741,LARGE((Daten!$B$2:$B$741=Limits!$P$18)*(ROW(Daten!$B$2:$B$741)-1),COUNTIF(Daten!$B$2:$B$741,Limits!$P$18)+1-ROW(Daten!A59))),"")</f>
        <v/>
      </c>
      <c r="I106" s="4"/>
      <c r="J106" s="2" t="str">
        <f t="array" aca="1" ref="J106" ca="1">IFERROR(INDEX(Daten!$AA$2:$AA$741,LARGE((Daten!$B$2:$B$741=Limits!$P$18)*(ROW(Daten!$B$2:$B$741)-1),COUNTIF(Daten!$B$2:$B$741,Limits!$P$18)+1-ROW(Daten!A59))),"")</f>
        <v/>
      </c>
      <c r="K106" s="14" t="str">
        <f t="array" aca="1" ref="K106" ca="1">IFERROR(INDEX(Daten!$AB$2:$AB$741,LARGE((Daten!$B$2:$B$741=Limits!$P$18)*(ROW(Daten!$B$2:$B$741)-1),COUNTIF(Daten!$B$2:$B$741,Limits!$P$18)+1-ROW(Daten!A59))),"")</f>
        <v/>
      </c>
      <c r="L106" s="10" t="str">
        <f t="array" aca="1" ref="L106" ca="1">IFERROR(INDEX(Daten!$AD$2:$AD$741,LARGE((Daten!$B$2:$B$741=Limits!$P$18)*(ROW(Daten!$B$2:$B$741)-1),COUNTIF(Daten!$B$2:$B$741,Limits!$P$18)+1-ROW(Daten!A59))),"")</f>
        <v/>
      </c>
      <c r="M106" s="14" t="str">
        <f t="array" aca="1" ref="M106" ca="1">IFERROR(INDEX(Daten!$AE$2:$AE$741,LARGE((Daten!$B$2:$B$741=Limits!$P$18)*(ROW(Daten!$B$2:$B$741)-1),COUNTIF(Daten!$B$2:$B$741,Limits!$P$18)+1-ROW(Daten!A59))),"")</f>
        <v/>
      </c>
      <c r="N106" s="2" t="str">
        <f t="array" aca="1" ref="N106" ca="1">IFERROR(INDEX(Daten!$AO$2:$AO$741,LARGE((Daten!$B$2:$B$741=Limits!$P$18)*(ROW(Daten!$B$2:$B$741)-1),COUNTIF(Daten!$B$2:$B$741,Limits!$P$18)+1-ROW(Daten!A59))),"")</f>
        <v/>
      </c>
      <c r="O106" s="18" t="str">
        <f t="array" aca="1" ref="O106" ca="1">IFERROR(INDEX(Daten!$AP$2:$AP$741,LARGE((Daten!$B$2:$B$741=Limits!$P$18)*(ROW(Daten!$B$2:$B$741)-1),COUNTIF(Daten!$B$2:$B$741,Limits!$P$18)+1-ROW(Daten!A59))),"")</f>
        <v/>
      </c>
      <c r="P106" t="str">
        <f t="array" aca="1" ref="P106" ca="1">IFERROR(INDEX(Daten!$AS$2:$AS$741,LARGE((Daten!$B$2:$B$741=Limits!$P$18)*(ROW(Daten!$B$2:$B$741)-1),COUNTIF(Daten!$B$2:$B$741,Limits!$P$18)+1-ROW(Daten!A59))),"")</f>
        <v/>
      </c>
      <c r="Q106" t="str">
        <f t="array" aca="1" ref="Q106" ca="1">IFERROR(INDEX(Daten!$AT$2:$AT$741,LARGE((Daten!$B$2:$B$741=Limits!$P$18)*(ROW(Daten!$B$2:$B$741)-1),COUNTIF(Daten!$B$2:$B$741,Limits!$P$18)+1-ROW(Daten!A59))),"")</f>
        <v/>
      </c>
    </row>
    <row r="107" spans="1:17" x14ac:dyDescent="0.25">
      <c r="B107" s="17" t="str">
        <f t="array" aca="1" ref="B107" ca="1">IFERROR(INDEX(Daten!$U$2:$U$741,LARGE((Daten!$B$2:$B$741=Limits!$P$18)*(ROW(Daten!$B$2:$B$741)-1),COUNTIF(Daten!$B$2:$B$741,Limits!$P$18)+1-ROW(Daten!A60))),"")</f>
        <v/>
      </c>
      <c r="C107" s="4"/>
      <c r="D107" s="2" t="str">
        <f t="array" aca="1" ref="D107" ca="1">IFERROR(INDEX(Daten!$AL$2:$AL$741,LARGE((Daten!$B$2:$B$741=Limits!$P$18)*(ROW(Daten!$B$2:$B$741)-1),COUNTIF(Daten!$B$2:$B$741,Limits!$P$18)+1-ROW(Daten!A60))),"")</f>
        <v/>
      </c>
      <c r="E107" s="2" t="str">
        <f t="array" aca="1" ref="E107" ca="1">IFERROR(INDEX(Daten!$AK$2:$AK$741,LARGE((Daten!$B$2:$B$741=Limits!$P$18)*(ROW(Daten!$B$2:$B$741)-1),COUNTIF(Daten!$B$2:$B$741,Limits!$P$18)+1-ROW(Daten!A60))),"")</f>
        <v/>
      </c>
      <c r="F107" s="2" t="str">
        <f t="array" aca="1" ref="F107" ca="1">IFERROR(INDEX(Daten!$AM$2:$AM$741,LARGE((Daten!$B$2:$B$741=Limits!$P$18)*(ROW(Daten!$B$2:$B$741)-1),COUNTIF(Daten!$B$2:$B$741,Limits!$P$18)+1-ROW(Daten!A60))),"")</f>
        <v/>
      </c>
      <c r="G107" s="4"/>
      <c r="H107" s="2" t="str">
        <f t="array" aca="1" ref="H107" ca="1">IFERROR(INDEX(Daten!$AN$2:$AN$741,LARGE((Daten!$B$2:$B$741=Limits!$P$18)*(ROW(Daten!$B$2:$B$741)-1),COUNTIF(Daten!$B$2:$B$741,Limits!$P$18)+1-ROW(Daten!A60))),"")</f>
        <v/>
      </c>
      <c r="I107" s="4"/>
      <c r="J107" s="2" t="str">
        <f t="array" aca="1" ref="J107" ca="1">IFERROR(INDEX(Daten!$AA$2:$AA$741,LARGE((Daten!$B$2:$B$741=Limits!$P$18)*(ROW(Daten!$B$2:$B$741)-1),COUNTIF(Daten!$B$2:$B$741,Limits!$P$18)+1-ROW(Daten!A60))),"")</f>
        <v/>
      </c>
      <c r="K107" s="14" t="str">
        <f t="array" aca="1" ref="K107" ca="1">IFERROR(INDEX(Daten!$AB$2:$AB$741,LARGE((Daten!$B$2:$B$741=Limits!$P$18)*(ROW(Daten!$B$2:$B$741)-1),COUNTIF(Daten!$B$2:$B$741,Limits!$P$18)+1-ROW(Daten!A60))),"")</f>
        <v/>
      </c>
      <c r="L107" s="10" t="str">
        <f t="array" aca="1" ref="L107" ca="1">IFERROR(INDEX(Daten!$AD$2:$AD$741,LARGE((Daten!$B$2:$B$741=Limits!$P$18)*(ROW(Daten!$B$2:$B$741)-1),COUNTIF(Daten!$B$2:$B$741,Limits!$P$18)+1-ROW(Daten!A60))),"")</f>
        <v/>
      </c>
      <c r="M107" s="14" t="str">
        <f t="array" aca="1" ref="M107" ca="1">IFERROR(INDEX(Daten!$AE$2:$AE$741,LARGE((Daten!$B$2:$B$741=Limits!$P$18)*(ROW(Daten!$B$2:$B$741)-1),COUNTIF(Daten!$B$2:$B$741,Limits!$P$18)+1-ROW(Daten!A60))),"")</f>
        <v/>
      </c>
      <c r="N107" s="2" t="str">
        <f t="array" aca="1" ref="N107" ca="1">IFERROR(INDEX(Daten!$AO$2:$AO$741,LARGE((Daten!$B$2:$B$741=Limits!$P$18)*(ROW(Daten!$B$2:$B$741)-1),COUNTIF(Daten!$B$2:$B$741,Limits!$P$18)+1-ROW(Daten!A60))),"")</f>
        <v/>
      </c>
      <c r="O107" s="18" t="str">
        <f t="array" aca="1" ref="O107" ca="1">IFERROR(INDEX(Daten!$AP$2:$AP$741,LARGE((Daten!$B$2:$B$741=Limits!$P$18)*(ROW(Daten!$B$2:$B$741)-1),COUNTIF(Daten!$B$2:$B$741,Limits!$P$18)+1-ROW(Daten!A60))),"")</f>
        <v/>
      </c>
      <c r="P107" t="str">
        <f t="array" aca="1" ref="P107" ca="1">IFERROR(INDEX(Daten!$AS$2:$AS$741,LARGE((Daten!$B$2:$B$741=Limits!$P$18)*(ROW(Daten!$B$2:$B$741)-1),COUNTIF(Daten!$B$2:$B$741,Limits!$P$18)+1-ROW(Daten!A60))),"")</f>
        <v/>
      </c>
      <c r="Q107" t="str">
        <f t="array" aca="1" ref="Q107" ca="1">IFERROR(INDEX(Daten!$AT$2:$AT$741,LARGE((Daten!$B$2:$B$741=Limits!$P$18)*(ROW(Daten!$B$2:$B$741)-1),COUNTIF(Daten!$B$2:$B$741,Limits!$P$18)+1-ROW(Daten!A60))),"")</f>
        <v/>
      </c>
    </row>
    <row r="108" spans="1:17" x14ac:dyDescent="0.25">
      <c r="B108" s="17" t="str">
        <f t="array" aca="1" ref="B108" ca="1">IFERROR(INDEX(Daten!$U$2:$U$741,LARGE((Daten!$B$2:$B$741=Limits!$P$18)*(ROW(Daten!$B$2:$B$741)-1),COUNTIF(Daten!$B$2:$B$741,Limits!$P$18)+1-ROW(Daten!A61))),"")</f>
        <v/>
      </c>
      <c r="C108" s="4"/>
      <c r="D108" s="2" t="str">
        <f t="array" aca="1" ref="D108" ca="1">IFERROR(INDEX(Daten!$AL$2:$AL$741,LARGE((Daten!$B$2:$B$741=Limits!$P$18)*(ROW(Daten!$B$2:$B$741)-1),COUNTIF(Daten!$B$2:$B$741,Limits!$P$18)+1-ROW(Daten!A61))),"")</f>
        <v/>
      </c>
      <c r="E108" s="2" t="str">
        <f t="array" aca="1" ref="E108" ca="1">IFERROR(INDEX(Daten!$AK$2:$AK$741,LARGE((Daten!$B$2:$B$741=Limits!$P$18)*(ROW(Daten!$B$2:$B$741)-1),COUNTIF(Daten!$B$2:$B$741,Limits!$P$18)+1-ROW(Daten!A61))),"")</f>
        <v/>
      </c>
      <c r="F108" s="2" t="str">
        <f t="array" aca="1" ref="F108" ca="1">IFERROR(INDEX(Daten!$AM$2:$AM$741,LARGE((Daten!$B$2:$B$741=Limits!$P$18)*(ROW(Daten!$B$2:$B$741)-1),COUNTIF(Daten!$B$2:$B$741,Limits!$P$18)+1-ROW(Daten!A61))),"")</f>
        <v/>
      </c>
      <c r="G108" s="4"/>
      <c r="H108" s="2" t="str">
        <f t="array" aca="1" ref="H108" ca="1">IFERROR(INDEX(Daten!$AN$2:$AN$741,LARGE((Daten!$B$2:$B$741=Limits!$P$18)*(ROW(Daten!$B$2:$B$741)-1),COUNTIF(Daten!$B$2:$B$741,Limits!$P$18)+1-ROW(Daten!A61))),"")</f>
        <v/>
      </c>
      <c r="I108" s="4"/>
      <c r="J108" s="2" t="str">
        <f t="array" aca="1" ref="J108" ca="1">IFERROR(INDEX(Daten!$AA$2:$AA$741,LARGE((Daten!$B$2:$B$741=Limits!$P$18)*(ROW(Daten!$B$2:$B$741)-1),COUNTIF(Daten!$B$2:$B$741,Limits!$P$18)+1-ROW(Daten!A61))),"")</f>
        <v/>
      </c>
      <c r="K108" s="14" t="str">
        <f t="array" aca="1" ref="K108" ca="1">IFERROR(INDEX(Daten!$AB$2:$AB$741,LARGE((Daten!$B$2:$B$741=Limits!$P$18)*(ROW(Daten!$B$2:$B$741)-1),COUNTIF(Daten!$B$2:$B$741,Limits!$P$18)+1-ROW(Daten!A61))),"")</f>
        <v/>
      </c>
      <c r="L108" s="10" t="str">
        <f t="array" aca="1" ref="L108" ca="1">IFERROR(INDEX(Daten!$AD$2:$AD$741,LARGE((Daten!$B$2:$B$741=Limits!$P$18)*(ROW(Daten!$B$2:$B$741)-1),COUNTIF(Daten!$B$2:$B$741,Limits!$P$18)+1-ROW(Daten!A61))),"")</f>
        <v/>
      </c>
      <c r="M108" s="14" t="str">
        <f t="array" aca="1" ref="M108" ca="1">IFERROR(INDEX(Daten!$AE$2:$AE$741,LARGE((Daten!$B$2:$B$741=Limits!$P$18)*(ROW(Daten!$B$2:$B$741)-1),COUNTIF(Daten!$B$2:$B$741,Limits!$P$18)+1-ROW(Daten!A61))),"")</f>
        <v/>
      </c>
      <c r="N108" s="2" t="str">
        <f t="array" aca="1" ref="N108" ca="1">IFERROR(INDEX(Daten!$AO$2:$AO$741,LARGE((Daten!$B$2:$B$741=Limits!$P$18)*(ROW(Daten!$B$2:$B$741)-1),COUNTIF(Daten!$B$2:$B$741,Limits!$P$18)+1-ROW(Daten!A61))),"")</f>
        <v/>
      </c>
      <c r="O108" s="18" t="str">
        <f t="array" aca="1" ref="O108" ca="1">IFERROR(INDEX(Daten!$AP$2:$AP$741,LARGE((Daten!$B$2:$B$741=Limits!$P$18)*(ROW(Daten!$B$2:$B$741)-1),COUNTIF(Daten!$B$2:$B$741,Limits!$P$18)+1-ROW(Daten!A61))),"")</f>
        <v/>
      </c>
      <c r="P108" t="str">
        <f t="array" aca="1" ref="P108" ca="1">IFERROR(INDEX(Daten!$AS$2:$AS$741,LARGE((Daten!$B$2:$B$741=Limits!$P$18)*(ROW(Daten!$B$2:$B$741)-1),COUNTIF(Daten!$B$2:$B$741,Limits!$P$18)+1-ROW(Daten!A61))),"")</f>
        <v/>
      </c>
      <c r="Q108" t="str">
        <f t="array" aca="1" ref="Q108" ca="1">IFERROR(INDEX(Daten!$AT$2:$AT$741,LARGE((Daten!$B$2:$B$741=Limits!$P$18)*(ROW(Daten!$B$2:$B$741)-1),COUNTIF(Daten!$B$2:$B$741,Limits!$P$18)+1-ROW(Daten!A61))),"")</f>
        <v/>
      </c>
    </row>
    <row r="109" spans="1:17" x14ac:dyDescent="0.25">
      <c r="B109" s="17" t="str">
        <f t="array" aca="1" ref="B109" ca="1">IFERROR(INDEX(Daten!$U$2:$U$741,LARGE((Daten!$B$2:$B$741=Limits!$P$18)*(ROW(Daten!$B$2:$B$741)-1),COUNTIF(Daten!$B$2:$B$741,Limits!$P$18)+1-ROW(Daten!A62))),"")</f>
        <v/>
      </c>
      <c r="C109" s="4"/>
      <c r="D109" s="2" t="str">
        <f t="array" aca="1" ref="D109" ca="1">IFERROR(INDEX(Daten!$AL$2:$AL$741,LARGE((Daten!$B$2:$B$741=Limits!$P$18)*(ROW(Daten!$B$2:$B$741)-1),COUNTIF(Daten!$B$2:$B$741,Limits!$P$18)+1-ROW(Daten!A62))),"")</f>
        <v/>
      </c>
      <c r="E109" s="2" t="str">
        <f t="array" aca="1" ref="E109" ca="1">IFERROR(INDEX(Daten!$AK$2:$AK$741,LARGE((Daten!$B$2:$B$741=Limits!$P$18)*(ROW(Daten!$B$2:$B$741)-1),COUNTIF(Daten!$B$2:$B$741,Limits!$P$18)+1-ROW(Daten!A62))),"")</f>
        <v/>
      </c>
      <c r="F109" s="2" t="str">
        <f t="array" aca="1" ref="F109" ca="1">IFERROR(INDEX(Daten!$AM$2:$AM$741,LARGE((Daten!$B$2:$B$741=Limits!$P$18)*(ROW(Daten!$B$2:$B$741)-1),COUNTIF(Daten!$B$2:$B$741,Limits!$P$18)+1-ROW(Daten!A62))),"")</f>
        <v/>
      </c>
      <c r="G109" s="4"/>
      <c r="H109" s="2" t="str">
        <f t="array" aca="1" ref="H109" ca="1">IFERROR(INDEX(Daten!$AN$2:$AN$741,LARGE((Daten!$B$2:$B$741=Limits!$P$18)*(ROW(Daten!$B$2:$B$741)-1),COUNTIF(Daten!$B$2:$B$741,Limits!$P$18)+1-ROW(Daten!A62))),"")</f>
        <v/>
      </c>
      <c r="I109" s="4"/>
      <c r="J109" s="2" t="str">
        <f t="array" aca="1" ref="J109" ca="1">IFERROR(INDEX(Daten!$AA$2:$AA$741,LARGE((Daten!$B$2:$B$741=Limits!$P$18)*(ROW(Daten!$B$2:$B$741)-1),COUNTIF(Daten!$B$2:$B$741,Limits!$P$18)+1-ROW(Daten!A62))),"")</f>
        <v/>
      </c>
      <c r="K109" s="14" t="str">
        <f t="array" aca="1" ref="K109" ca="1">IFERROR(INDEX(Daten!$AB$2:$AB$741,LARGE((Daten!$B$2:$B$741=Limits!$P$18)*(ROW(Daten!$B$2:$B$741)-1),COUNTIF(Daten!$B$2:$B$741,Limits!$P$18)+1-ROW(Daten!A62))),"")</f>
        <v/>
      </c>
      <c r="L109" s="10" t="str">
        <f t="array" aca="1" ref="L109" ca="1">IFERROR(INDEX(Daten!$AD$2:$AD$741,LARGE((Daten!$B$2:$B$741=Limits!$P$18)*(ROW(Daten!$B$2:$B$741)-1),COUNTIF(Daten!$B$2:$B$741,Limits!$P$18)+1-ROW(Daten!A62))),"")</f>
        <v/>
      </c>
      <c r="M109" s="14" t="str">
        <f t="array" aca="1" ref="M109" ca="1">IFERROR(INDEX(Daten!$AE$2:$AE$741,LARGE((Daten!$B$2:$B$741=Limits!$P$18)*(ROW(Daten!$B$2:$B$741)-1),COUNTIF(Daten!$B$2:$B$741,Limits!$P$18)+1-ROW(Daten!A62))),"")</f>
        <v/>
      </c>
      <c r="N109" s="2" t="str">
        <f t="array" aca="1" ref="N109" ca="1">IFERROR(INDEX(Daten!$AO$2:$AO$741,LARGE((Daten!$B$2:$B$741=Limits!$P$18)*(ROW(Daten!$B$2:$B$741)-1),COUNTIF(Daten!$B$2:$B$741,Limits!$P$18)+1-ROW(Daten!A62))),"")</f>
        <v/>
      </c>
      <c r="O109" s="18" t="str">
        <f t="array" aca="1" ref="O109" ca="1">IFERROR(INDEX(Daten!$AP$2:$AP$741,LARGE((Daten!$B$2:$B$741=Limits!$P$18)*(ROW(Daten!$B$2:$B$741)-1),COUNTIF(Daten!$B$2:$B$741,Limits!$P$18)+1-ROW(Daten!A62))),"")</f>
        <v/>
      </c>
      <c r="P109" t="str">
        <f t="array" aca="1" ref="P109" ca="1">IFERROR(INDEX(Daten!$AS$2:$AS$741,LARGE((Daten!$B$2:$B$741=Limits!$P$18)*(ROW(Daten!$B$2:$B$741)-1),COUNTIF(Daten!$B$2:$B$741,Limits!$P$18)+1-ROW(Daten!A62))),"")</f>
        <v/>
      </c>
      <c r="Q109" t="str">
        <f t="array" aca="1" ref="Q109" ca="1">IFERROR(INDEX(Daten!$AT$2:$AT$741,LARGE((Daten!$B$2:$B$741=Limits!$P$18)*(ROW(Daten!$B$2:$B$741)-1),COUNTIF(Daten!$B$2:$B$741,Limits!$P$18)+1-ROW(Daten!A62))),"")</f>
        <v/>
      </c>
    </row>
    <row r="110" spans="1:17" x14ac:dyDescent="0.25">
      <c r="A110" t="str">
        <f t="shared" ref="A110:A115" ca="1" si="0">E110</f>
        <v/>
      </c>
      <c r="B110" s="17" t="str">
        <f t="array" aca="1" ref="B110" ca="1">IFERROR(INDEX(Daten!$U$2:$U$741,LARGE((Daten!$B$2:$B$741=Limits!$P$18)*(ROW(Daten!$B$2:$B$741)-1),COUNTIF(Daten!$B$2:$B$741,Limits!$P$18)+1-ROW(Daten!A63))),"")</f>
        <v/>
      </c>
      <c r="C110" s="4"/>
      <c r="D110" s="2" t="str">
        <f t="array" aca="1" ref="D110" ca="1">IFERROR(INDEX(Daten!$AL$2:$AL$741,LARGE((Daten!$B$2:$B$741=Limits!$P$18)*(ROW(Daten!$B$2:$B$741)-1),COUNTIF(Daten!$B$2:$B$741,Limits!$P$18)+1-ROW(Daten!A63))),"")</f>
        <v/>
      </c>
      <c r="E110" s="2" t="str">
        <f t="array" aca="1" ref="E110" ca="1">IFERROR(INDEX(Daten!$AK$2:$AK$741,LARGE((Daten!$B$2:$B$741=Limits!$P$18)*(ROW(Daten!$B$2:$B$741)-1),COUNTIF(Daten!$B$2:$B$741,Limits!$P$18)+1-ROW(Daten!A63))),"")</f>
        <v/>
      </c>
      <c r="F110" s="2" t="str">
        <f t="array" aca="1" ref="F110" ca="1">IFERROR(INDEX(Daten!$AM$2:$AM$741,LARGE((Daten!$B$2:$B$741=Limits!$P$18)*(ROW(Daten!$B$2:$B$741)-1),COUNTIF(Daten!$B$2:$B$741,Limits!$P$18)+1-ROW(Daten!A63))),"")</f>
        <v/>
      </c>
      <c r="G110" s="4"/>
      <c r="H110" s="2" t="str">
        <f t="array" aca="1" ref="H110" ca="1">IFERROR(INDEX(Daten!$AN$2:$AN$741,LARGE((Daten!$B$2:$B$741=Limits!$P$18)*(ROW(Daten!$B$2:$B$741)-1),COUNTIF(Daten!$B$2:$B$741,Limits!$P$18)+1-ROW(Daten!A63))),"")</f>
        <v/>
      </c>
      <c r="I110" s="4"/>
      <c r="J110" s="2" t="str">
        <f t="array" aca="1" ref="J110" ca="1">IFERROR(INDEX(Daten!$AA$2:$AA$741,LARGE((Daten!$B$2:$B$741=Limits!$P$18)*(ROW(Daten!$B$2:$B$741)-1),COUNTIF(Daten!$B$2:$B$741,Limits!$P$18)+1-ROW(Daten!A63))),"")</f>
        <v/>
      </c>
      <c r="K110" s="14" t="str">
        <f t="array" aca="1" ref="K110" ca="1">IFERROR(INDEX(Daten!$AB$2:$AB$741,LARGE((Daten!$B$2:$B$741=Limits!$P$18)*(ROW(Daten!$B$2:$B$741)-1),COUNTIF(Daten!$B$2:$B$741,Limits!$P$18)+1-ROW(Daten!A63))),"")</f>
        <v/>
      </c>
      <c r="L110" s="10" t="str">
        <f t="array" aca="1" ref="L110" ca="1">IFERROR(INDEX(Daten!$AD$2:$AD$741,LARGE((Daten!$B$2:$B$741=Limits!$P$18)*(ROW(Daten!$B$2:$B$741)-1),COUNTIF(Daten!$B$2:$B$741,Limits!$P$18)+1-ROW(Daten!A63))),"")</f>
        <v/>
      </c>
      <c r="M110" s="14" t="str">
        <f t="array" aca="1" ref="M110" ca="1">IFERROR(INDEX(Daten!$AE$2:$AE$741,LARGE((Daten!$B$2:$B$741=Limits!$P$18)*(ROW(Daten!$B$2:$B$741)-1),COUNTIF(Daten!$B$2:$B$741,Limits!$P$18)+1-ROW(Daten!A63))),"")</f>
        <v/>
      </c>
      <c r="N110" s="2" t="str">
        <f t="array" aca="1" ref="N110" ca="1">IFERROR(INDEX(Daten!$AO$2:$AO$741,LARGE((Daten!$B$2:$B$741=Limits!$P$18)*(ROW(Daten!$B$2:$B$741)-1),COUNTIF(Daten!$B$2:$B$741,Limits!$P$18)+1-ROW(Daten!A63))),"")</f>
        <v/>
      </c>
      <c r="O110" s="18" t="str">
        <f t="array" aca="1" ref="O110" ca="1">IFERROR(INDEX(Daten!$AP$2:$AP$741,LARGE((Daten!$B$2:$B$741=Limits!$P$18)*(ROW(Daten!$B$2:$B$741)-1),COUNTIF(Daten!$B$2:$B$741,Limits!$P$18)+1-ROW(Daten!A63))),"")</f>
        <v/>
      </c>
      <c r="P110" t="str">
        <f t="array" aca="1" ref="P110" ca="1">IFERROR(INDEX(Daten!$AS$2:$AS$741,LARGE((Daten!$B$2:$B$741=Limits!$P$18)*(ROW(Daten!$B$2:$B$741)-1),COUNTIF(Daten!$B$2:$B$741,Limits!$P$18)+1-ROW(Daten!A63))),"")</f>
        <v/>
      </c>
      <c r="Q110" t="str">
        <f t="array" aca="1" ref="Q110" ca="1">IFERROR(INDEX(Daten!$AT$2:$AT$741,LARGE((Daten!$B$2:$B$741=Limits!$P$18)*(ROW(Daten!$B$2:$B$741)-1),COUNTIF(Daten!$B$2:$B$741,Limits!$P$18)+1-ROW(Daten!A63))),"")</f>
        <v/>
      </c>
    </row>
    <row r="111" spans="1:17" x14ac:dyDescent="0.25">
      <c r="A111" t="str">
        <f t="shared" ca="1" si="0"/>
        <v/>
      </c>
      <c r="B111" s="17" t="str">
        <f t="array" aca="1" ref="B111" ca="1">IFERROR(INDEX(Daten!$U$2:$U$741,LARGE((Daten!$B$2:$B$741=Limits!$P$18)*(ROW(Daten!$B$2:$B$741)-1),COUNTIF(Daten!$B$2:$B$741,Limits!$P$18)+1-ROW(Daten!A64))),"")</f>
        <v/>
      </c>
      <c r="C111" s="4"/>
      <c r="D111" s="2" t="str">
        <f t="array" aca="1" ref="D111" ca="1">IFERROR(INDEX(Daten!$AL$2:$AL$741,LARGE((Daten!$B$2:$B$741=Limits!$P$18)*(ROW(Daten!$B$2:$B$741)-1),COUNTIF(Daten!$B$2:$B$741,Limits!$P$18)+1-ROW(Daten!A64))),"")</f>
        <v/>
      </c>
      <c r="E111" s="2" t="str">
        <f t="array" aca="1" ref="E111" ca="1">IFERROR(INDEX(Daten!$AK$2:$AK$741,LARGE((Daten!$B$2:$B$741=Limits!$P$18)*(ROW(Daten!$B$2:$B$741)-1),COUNTIF(Daten!$B$2:$B$741,Limits!$P$18)+1-ROW(Daten!A64))),"")</f>
        <v/>
      </c>
      <c r="F111" s="2" t="str">
        <f t="array" aca="1" ref="F111" ca="1">IFERROR(INDEX(Daten!$AM$2:$AM$741,LARGE((Daten!$B$2:$B$741=Limits!$P$18)*(ROW(Daten!$B$2:$B$741)-1),COUNTIF(Daten!$B$2:$B$741,Limits!$P$18)+1-ROW(Daten!A64))),"")</f>
        <v/>
      </c>
      <c r="G111" s="4"/>
      <c r="H111" s="2" t="str">
        <f t="array" aca="1" ref="H111" ca="1">IFERROR(INDEX(Daten!$AN$2:$AN$741,LARGE((Daten!$B$2:$B$741=Limits!$P$18)*(ROW(Daten!$B$2:$B$741)-1),COUNTIF(Daten!$B$2:$B$741,Limits!$P$18)+1-ROW(Daten!A64))),"")</f>
        <v/>
      </c>
      <c r="I111" s="4"/>
      <c r="J111" s="2" t="str">
        <f t="array" aca="1" ref="J111" ca="1">IFERROR(INDEX(Daten!$AA$2:$AA$741,LARGE((Daten!$B$2:$B$741=Limits!$P$18)*(ROW(Daten!$B$2:$B$741)-1),COUNTIF(Daten!$B$2:$B$741,Limits!$P$18)+1-ROW(Daten!A64))),"")</f>
        <v/>
      </c>
      <c r="K111" s="14" t="str">
        <f t="array" aca="1" ref="K111" ca="1">IFERROR(INDEX(Daten!$AB$2:$AB$741,LARGE((Daten!$B$2:$B$741=Limits!$P$18)*(ROW(Daten!$B$2:$B$741)-1),COUNTIF(Daten!$B$2:$B$741,Limits!$P$18)+1-ROW(Daten!A64))),"")</f>
        <v/>
      </c>
      <c r="L111" s="10" t="str">
        <f t="array" aca="1" ref="L111" ca="1">IFERROR(INDEX(Daten!$AD$2:$AD$741,LARGE((Daten!$B$2:$B$741=Limits!$P$18)*(ROW(Daten!$B$2:$B$741)-1),COUNTIF(Daten!$B$2:$B$741,Limits!$P$18)+1-ROW(Daten!A64))),"")</f>
        <v/>
      </c>
      <c r="M111" s="14" t="str">
        <f t="array" aca="1" ref="M111" ca="1">IFERROR(INDEX(Daten!$AE$2:$AE$741,LARGE((Daten!$B$2:$B$741=Limits!$P$18)*(ROW(Daten!$B$2:$B$741)-1),COUNTIF(Daten!$B$2:$B$741,Limits!$P$18)+1-ROW(Daten!A64))),"")</f>
        <v/>
      </c>
      <c r="N111" s="2" t="str">
        <f t="array" aca="1" ref="N111" ca="1">IFERROR(INDEX(Daten!$AO$2:$AO$741,LARGE((Daten!$B$2:$B$741=Limits!$P$18)*(ROW(Daten!$B$2:$B$741)-1),COUNTIF(Daten!$B$2:$B$741,Limits!$P$18)+1-ROW(Daten!A64))),"")</f>
        <v/>
      </c>
      <c r="O111" s="18" t="str">
        <f t="array" aca="1" ref="O111" ca="1">IFERROR(INDEX(Daten!$AP$2:$AP$741,LARGE((Daten!$B$2:$B$741=Limits!$P$18)*(ROW(Daten!$B$2:$B$741)-1),COUNTIF(Daten!$B$2:$B$741,Limits!$P$18)+1-ROW(Daten!A64))),"")</f>
        <v/>
      </c>
      <c r="P111" t="str">
        <f t="array" aca="1" ref="P111" ca="1">IFERROR(INDEX(Daten!$AS$2:$AS$741,LARGE((Daten!$B$2:$B$741=Limits!$P$18)*(ROW(Daten!$B$2:$B$741)-1),COUNTIF(Daten!$B$2:$B$741,Limits!$P$18)+1-ROW(Daten!A64))),"")</f>
        <v/>
      </c>
      <c r="Q111" t="str">
        <f t="array" aca="1" ref="Q111" ca="1">IFERROR(INDEX(Daten!$AT$2:$AT$741,LARGE((Daten!$B$2:$B$741=Limits!$P$18)*(ROW(Daten!$B$2:$B$741)-1),COUNTIF(Daten!$B$2:$B$741,Limits!$P$18)+1-ROW(Daten!A64))),"")</f>
        <v/>
      </c>
    </row>
    <row r="112" spans="1:17" x14ac:dyDescent="0.25">
      <c r="A112" t="str">
        <f t="shared" ca="1" si="0"/>
        <v/>
      </c>
      <c r="B112" s="17" t="str">
        <f t="array" aca="1" ref="B112" ca="1">IFERROR(INDEX(Daten!$U$2:$U$741,LARGE((Daten!$B$2:$B$741=Limits!$P$18)*(ROW(Daten!$B$2:$B$741)-1),COUNTIF(Daten!$B$2:$B$741,Limits!$P$18)+1-ROW(Daten!A65))),"")</f>
        <v/>
      </c>
      <c r="C112" s="4"/>
      <c r="D112" s="2" t="str">
        <f t="array" aca="1" ref="D112" ca="1">IFERROR(INDEX(Daten!$AL$2:$AL$741,LARGE((Daten!$B$2:$B$741=Limits!$P$18)*(ROW(Daten!$B$2:$B$741)-1),COUNTIF(Daten!$B$2:$B$741,Limits!$P$18)+1-ROW(Daten!A65))),"")</f>
        <v/>
      </c>
      <c r="E112" s="2" t="str">
        <f t="array" aca="1" ref="E112" ca="1">IFERROR(INDEX(Daten!$AK$2:$AK$741,LARGE((Daten!$B$2:$B$741=Limits!$P$18)*(ROW(Daten!$B$2:$B$741)-1),COUNTIF(Daten!$B$2:$B$741,Limits!$P$18)+1-ROW(Daten!A65))),"")</f>
        <v/>
      </c>
      <c r="F112" s="2" t="str">
        <f t="array" aca="1" ref="F112" ca="1">IFERROR(INDEX(Daten!$AM$2:$AM$741,LARGE((Daten!$B$2:$B$741=Limits!$P$18)*(ROW(Daten!$B$2:$B$741)-1),COUNTIF(Daten!$B$2:$B$741,Limits!$P$18)+1-ROW(Daten!A65))),"")</f>
        <v/>
      </c>
      <c r="G112" s="4"/>
      <c r="H112" s="2" t="str">
        <f t="array" aca="1" ref="H112" ca="1">IFERROR(INDEX(Daten!$AN$2:$AN$741,LARGE((Daten!$B$2:$B$741=Limits!$P$18)*(ROW(Daten!$B$2:$B$741)-1),COUNTIF(Daten!$B$2:$B$741,Limits!$P$18)+1-ROW(Daten!A65))),"")</f>
        <v/>
      </c>
      <c r="I112" s="4"/>
      <c r="J112" s="2" t="str">
        <f t="array" aca="1" ref="J112" ca="1">IFERROR(INDEX(Daten!$AA$2:$AA$741,LARGE((Daten!$B$2:$B$741=Limits!$P$18)*(ROW(Daten!$B$2:$B$741)-1),COUNTIF(Daten!$B$2:$B$741,Limits!$P$18)+1-ROW(Daten!A65))),"")</f>
        <v/>
      </c>
      <c r="K112" s="14" t="str">
        <f t="array" aca="1" ref="K112" ca="1">IFERROR(INDEX(Daten!$AB$2:$AB$741,LARGE((Daten!$B$2:$B$741=Limits!$P$18)*(ROW(Daten!$B$2:$B$741)-1),COUNTIF(Daten!$B$2:$B$741,Limits!$P$18)+1-ROW(Daten!A65))),"")</f>
        <v/>
      </c>
      <c r="L112" s="10" t="str">
        <f t="array" aca="1" ref="L112" ca="1">IFERROR(INDEX(Daten!$AD$2:$AD$741,LARGE((Daten!$B$2:$B$741=Limits!$P$18)*(ROW(Daten!$B$2:$B$741)-1),COUNTIF(Daten!$B$2:$B$741,Limits!$P$18)+1-ROW(Daten!A65))),"")</f>
        <v/>
      </c>
      <c r="M112" s="14" t="str">
        <f t="array" aca="1" ref="M112" ca="1">IFERROR(INDEX(Daten!$AE$2:$AE$741,LARGE((Daten!$B$2:$B$741=Limits!$P$18)*(ROW(Daten!$B$2:$B$741)-1),COUNTIF(Daten!$B$2:$B$741,Limits!$P$18)+1-ROW(Daten!A65))),"")</f>
        <v/>
      </c>
      <c r="N112" s="2" t="str">
        <f t="array" aca="1" ref="N112" ca="1">IFERROR(INDEX(Daten!$AO$2:$AO$741,LARGE((Daten!$B$2:$B$741=Limits!$P$18)*(ROW(Daten!$B$2:$B$741)-1),COUNTIF(Daten!$B$2:$B$741,Limits!$P$18)+1-ROW(Daten!A65))),"")</f>
        <v/>
      </c>
      <c r="O112" s="18" t="str">
        <f t="array" aca="1" ref="O112" ca="1">IFERROR(INDEX(Daten!$AP$2:$AP$741,LARGE((Daten!$B$2:$B$741=Limits!$P$18)*(ROW(Daten!$B$2:$B$741)-1),COUNTIF(Daten!$B$2:$B$741,Limits!$P$18)+1-ROW(Daten!A65))),"")</f>
        <v/>
      </c>
      <c r="P112" t="str">
        <f t="array" aca="1" ref="P112" ca="1">IFERROR(INDEX(Daten!$AS$2:$AS$741,LARGE((Daten!$B$2:$B$741=Limits!$P$18)*(ROW(Daten!$B$2:$B$741)-1),COUNTIF(Daten!$B$2:$B$741,Limits!$P$18)+1-ROW(Daten!A65))),"")</f>
        <v/>
      </c>
      <c r="Q112" t="str">
        <f t="array" aca="1" ref="Q112" ca="1">IFERROR(INDEX(Daten!$AT$2:$AT$741,LARGE((Daten!$B$2:$B$741=Limits!$P$18)*(ROW(Daten!$B$2:$B$741)-1),COUNTIF(Daten!$B$2:$B$741,Limits!$P$18)+1-ROW(Daten!A65))),"")</f>
        <v/>
      </c>
    </row>
    <row r="113" spans="1:19" x14ac:dyDescent="0.25">
      <c r="A113" t="str">
        <f t="shared" ca="1" si="0"/>
        <v/>
      </c>
      <c r="B113" s="17" t="str">
        <f t="array" aca="1" ref="B113" ca="1">IFERROR(INDEX(Daten!$U$2:$U$741,LARGE((Daten!$B$2:$B$741=Limits!$P$18)*(ROW(Daten!$B$2:$B$741)-1),COUNTIF(Daten!$B$2:$B$741,Limits!$P$18)+1-ROW(Daten!A66))),"")</f>
        <v/>
      </c>
      <c r="C113" s="4"/>
      <c r="D113" s="2" t="str">
        <f t="array" aca="1" ref="D113" ca="1">IFERROR(INDEX(Daten!$AL$2:$AL$741,LARGE((Daten!$B$2:$B$741=Limits!$P$18)*(ROW(Daten!$B$2:$B$741)-1),COUNTIF(Daten!$B$2:$B$741,Limits!$P$18)+1-ROW(Daten!A66))),"")</f>
        <v/>
      </c>
      <c r="E113" s="2" t="str">
        <f t="array" aca="1" ref="E113" ca="1">IFERROR(INDEX(Daten!$AK$2:$AK$741,LARGE((Daten!$B$2:$B$741=Limits!$P$18)*(ROW(Daten!$B$2:$B$741)-1),COUNTIF(Daten!$B$2:$B$741,Limits!$P$18)+1-ROW(Daten!A66))),"")</f>
        <v/>
      </c>
      <c r="F113" s="2" t="str">
        <f t="array" aca="1" ref="F113" ca="1">IFERROR(INDEX(Daten!$AM$2:$AM$741,LARGE((Daten!$B$2:$B$741=Limits!$P$18)*(ROW(Daten!$B$2:$B$741)-1),COUNTIF(Daten!$B$2:$B$741,Limits!$P$18)+1-ROW(Daten!A66))),"")</f>
        <v/>
      </c>
      <c r="G113" s="4"/>
      <c r="H113" s="2" t="str">
        <f t="array" aca="1" ref="H113" ca="1">IFERROR(INDEX(Daten!$AN$2:$AN$741,LARGE((Daten!$B$2:$B$741=Limits!$P$18)*(ROW(Daten!$B$2:$B$741)-1),COUNTIF(Daten!$B$2:$B$741,Limits!$P$18)+1-ROW(Daten!A66))),"")</f>
        <v/>
      </c>
      <c r="I113" s="4"/>
      <c r="J113" s="2" t="str">
        <f t="array" aca="1" ref="J113" ca="1">IFERROR(INDEX(Daten!$AA$2:$AA$741,LARGE((Daten!$B$2:$B$741=Limits!$P$18)*(ROW(Daten!$B$2:$B$741)-1),COUNTIF(Daten!$B$2:$B$741,Limits!$P$18)+1-ROW(Daten!A66))),"")</f>
        <v/>
      </c>
      <c r="K113" s="14" t="str">
        <f t="array" aca="1" ref="K113" ca="1">IFERROR(INDEX(Daten!$AB$2:$AB$741,LARGE((Daten!$B$2:$B$741=Limits!$P$18)*(ROW(Daten!$B$2:$B$741)-1),COUNTIF(Daten!$B$2:$B$741,Limits!$P$18)+1-ROW(Daten!A66))),"")</f>
        <v/>
      </c>
      <c r="L113" s="10" t="str">
        <f t="array" aca="1" ref="L113" ca="1">IFERROR(INDEX(Daten!$AD$2:$AD$741,LARGE((Daten!$B$2:$B$741=Limits!$P$18)*(ROW(Daten!$B$2:$B$741)-1),COUNTIF(Daten!$B$2:$B$741,Limits!$P$18)+1-ROW(Daten!A66))),"")</f>
        <v/>
      </c>
      <c r="M113" s="14" t="str">
        <f t="array" aca="1" ref="M113" ca="1">IFERROR(INDEX(Daten!$AE$2:$AE$741,LARGE((Daten!$B$2:$B$741=Limits!$P$18)*(ROW(Daten!$B$2:$B$741)-1),COUNTIF(Daten!$B$2:$B$741,Limits!$P$18)+1-ROW(Daten!A66))),"")</f>
        <v/>
      </c>
      <c r="N113" s="2" t="str">
        <f t="array" aca="1" ref="N113" ca="1">IFERROR(INDEX(Daten!$AO$2:$AO$741,LARGE((Daten!$B$2:$B$741=Limits!$P$18)*(ROW(Daten!$B$2:$B$741)-1),COUNTIF(Daten!$B$2:$B$741,Limits!$P$18)+1-ROW(Daten!A66))),"")</f>
        <v/>
      </c>
      <c r="O113" s="18" t="str">
        <f t="array" aca="1" ref="O113" ca="1">IFERROR(INDEX(Daten!$AP$2:$AP$741,LARGE((Daten!$B$2:$B$741=Limits!$P$18)*(ROW(Daten!$B$2:$B$741)-1),COUNTIF(Daten!$B$2:$B$741,Limits!$P$18)+1-ROW(Daten!A66))),"")</f>
        <v/>
      </c>
      <c r="P113" t="str">
        <f t="array" aca="1" ref="P113" ca="1">IFERROR(INDEX(Daten!$AS$2:$AS$741,LARGE((Daten!$B$2:$B$741=Limits!$P$18)*(ROW(Daten!$B$2:$B$741)-1),COUNTIF(Daten!$B$2:$B$741,Limits!$P$18)+1-ROW(Daten!A66))),"")</f>
        <v/>
      </c>
      <c r="Q113" t="str">
        <f t="array" aca="1" ref="Q113" ca="1">IFERROR(INDEX(Daten!$AT$2:$AT$741,LARGE((Daten!$B$2:$B$741=Limits!$P$18)*(ROW(Daten!$B$2:$B$741)-1),COUNTIF(Daten!$B$2:$B$741,Limits!$P$18)+1-ROW(Daten!A66))),"")</f>
        <v/>
      </c>
    </row>
    <row r="114" spans="1:19" x14ac:dyDescent="0.25">
      <c r="A114" t="str">
        <f t="shared" ca="1" si="0"/>
        <v/>
      </c>
      <c r="B114" s="17" t="str">
        <f t="array" aca="1" ref="B114" ca="1">IFERROR(INDEX(Daten!$U$2:$U$741,LARGE((Daten!$B$2:$B$741=Limits!$P$18)*(ROW(Daten!$B$2:$B$741)-1),COUNTIF(Daten!$B$2:$B$741,Limits!$P$18)+1-ROW(Daten!A67))),"")</f>
        <v/>
      </c>
      <c r="C114" s="4"/>
      <c r="D114" s="2" t="str">
        <f t="array" aca="1" ref="D114" ca="1">IFERROR(INDEX(Daten!$AL$2:$AL$741,LARGE((Daten!$B$2:$B$741=Limits!$P$18)*(ROW(Daten!$B$2:$B$741)-1),COUNTIF(Daten!$B$2:$B$741,Limits!$P$18)+1-ROW(Daten!A67))),"")</f>
        <v/>
      </c>
      <c r="E114" s="2" t="str">
        <f t="array" aca="1" ref="E114" ca="1">IFERROR(INDEX(Daten!$AK$2:$AK$741,LARGE((Daten!$B$2:$B$741=Limits!$P$18)*(ROW(Daten!$B$2:$B$741)-1),COUNTIF(Daten!$B$2:$B$741,Limits!$P$18)+1-ROW(Daten!A67))),"")</f>
        <v/>
      </c>
      <c r="F114" s="2" t="str">
        <f t="array" aca="1" ref="F114" ca="1">IFERROR(INDEX(Daten!$AM$2:$AM$741,LARGE((Daten!$B$2:$B$741=Limits!$P$18)*(ROW(Daten!$B$2:$B$741)-1),COUNTIF(Daten!$B$2:$B$741,Limits!$P$18)+1-ROW(Daten!A67))),"")</f>
        <v/>
      </c>
      <c r="G114" s="4"/>
      <c r="H114" s="2" t="str">
        <f t="array" aca="1" ref="H114" ca="1">IFERROR(INDEX(Daten!$AN$2:$AN$741,LARGE((Daten!$B$2:$B$741=Limits!$P$18)*(ROW(Daten!$B$2:$B$741)-1),COUNTIF(Daten!$B$2:$B$741,Limits!$P$18)+1-ROW(Daten!A67))),"")</f>
        <v/>
      </c>
      <c r="I114" s="4"/>
      <c r="J114" s="2" t="str">
        <f t="array" aca="1" ref="J114" ca="1">IFERROR(INDEX(Daten!$AA$2:$AA$741,LARGE((Daten!$B$2:$B$741=Limits!$P$18)*(ROW(Daten!$B$2:$B$741)-1),COUNTIF(Daten!$B$2:$B$741,Limits!$P$18)+1-ROW(Daten!A67))),"")</f>
        <v/>
      </c>
      <c r="K114" s="14" t="str">
        <f t="array" aca="1" ref="K114" ca="1">IFERROR(INDEX(Daten!$AB$2:$AB$741,LARGE((Daten!$B$2:$B$741=Limits!$P$18)*(ROW(Daten!$B$2:$B$741)-1),COUNTIF(Daten!$B$2:$B$741,Limits!$P$18)+1-ROW(Daten!A67))),"")</f>
        <v/>
      </c>
      <c r="L114" s="10" t="str">
        <f t="array" aca="1" ref="L114" ca="1">IFERROR(INDEX(Daten!$AD$2:$AD$741,LARGE((Daten!$B$2:$B$741=Limits!$P$18)*(ROW(Daten!$B$2:$B$741)-1),COUNTIF(Daten!$B$2:$B$741,Limits!$P$18)+1-ROW(Daten!A67))),"")</f>
        <v/>
      </c>
      <c r="M114" s="14" t="str">
        <f t="array" aca="1" ref="M114" ca="1">IFERROR(INDEX(Daten!$AE$2:$AE$741,LARGE((Daten!$B$2:$B$741=Limits!$P$18)*(ROW(Daten!$B$2:$B$741)-1),COUNTIF(Daten!$B$2:$B$741,Limits!$P$18)+1-ROW(Daten!A67))),"")</f>
        <v/>
      </c>
      <c r="N114" s="2" t="str">
        <f t="array" aca="1" ref="N114" ca="1">IFERROR(INDEX(Daten!$AO$2:$AO$741,LARGE((Daten!$B$2:$B$741=Limits!$P$18)*(ROW(Daten!$B$2:$B$741)-1),COUNTIF(Daten!$B$2:$B$741,Limits!$P$18)+1-ROW(Daten!A67))),"")</f>
        <v/>
      </c>
      <c r="O114" s="18" t="str">
        <f t="array" aca="1" ref="O114" ca="1">IFERROR(INDEX(Daten!$AP$2:$AP$741,LARGE((Daten!$B$2:$B$741=Limits!$P$18)*(ROW(Daten!$B$2:$B$741)-1),COUNTIF(Daten!$B$2:$B$741,Limits!$P$18)+1-ROW(Daten!A67))),"")</f>
        <v/>
      </c>
      <c r="P114" t="str">
        <f t="array" aca="1" ref="P114" ca="1">IFERROR(INDEX(Daten!$AS$2:$AS$741,LARGE((Daten!$B$2:$B$741=Limits!$P$18)*(ROW(Daten!$B$2:$B$741)-1),COUNTIF(Daten!$B$2:$B$741,Limits!$P$18)+1-ROW(Daten!A67))),"")</f>
        <v/>
      </c>
      <c r="Q114" t="str">
        <f t="array" aca="1" ref="Q114" ca="1">IFERROR(INDEX(Daten!$AT$2:$AT$741,LARGE((Daten!$B$2:$B$741=Limits!$P$18)*(ROW(Daten!$B$2:$B$741)-1),COUNTIF(Daten!$B$2:$B$741,Limits!$P$18)+1-ROW(Daten!A67))),"")</f>
        <v/>
      </c>
    </row>
    <row r="115" spans="1:19" x14ac:dyDescent="0.25">
      <c r="A115" t="str">
        <f t="shared" ca="1" si="0"/>
        <v/>
      </c>
      <c r="B115" s="17" t="str">
        <f t="array" aca="1" ref="B115" ca="1">IFERROR(INDEX(Daten!$U$2:$U$741,LARGE((Daten!$B$2:$B$741=Limits!$P$18)*(ROW(Daten!$B$2:$B$741)-1),COUNTIF(Daten!$B$2:$B$741,Limits!$P$18)+1-ROW(Daten!A68))),"")</f>
        <v/>
      </c>
      <c r="C115" s="4"/>
      <c r="D115" s="2" t="str">
        <f t="array" aca="1" ref="D115" ca="1">IFERROR(INDEX(Daten!$AL$2:$AL$741,LARGE((Daten!$B$2:$B$741=Limits!$P$18)*(ROW(Daten!$B$2:$B$741)-1),COUNTIF(Daten!$B$2:$B$741,Limits!$P$18)+1-ROW(Daten!A68))),"")</f>
        <v/>
      </c>
      <c r="E115" s="2" t="str">
        <f t="array" aca="1" ref="E115" ca="1">IFERROR(INDEX(Daten!$AK$2:$AK$741,LARGE((Daten!$B$2:$B$741=Limits!$P$18)*(ROW(Daten!$B$2:$B$741)-1),COUNTIF(Daten!$B$2:$B$741,Limits!$P$18)+1-ROW(Daten!A68))),"")</f>
        <v/>
      </c>
      <c r="F115" s="2" t="str">
        <f t="array" aca="1" ref="F115" ca="1">IFERROR(INDEX(Daten!$AM$2:$AM$741,LARGE((Daten!$B$2:$B$741=Limits!$P$18)*(ROW(Daten!$B$2:$B$741)-1),COUNTIF(Daten!$B$2:$B$741,Limits!$P$18)+1-ROW(Daten!A68))),"")</f>
        <v/>
      </c>
      <c r="G115" s="4"/>
      <c r="H115" s="2" t="str">
        <f t="array" aca="1" ref="H115" ca="1">IFERROR(INDEX(Daten!$AN$2:$AN$741,LARGE((Daten!$B$2:$B$741=Limits!$P$18)*(ROW(Daten!$B$2:$B$741)-1),COUNTIF(Daten!$B$2:$B$741,Limits!$P$18)+1-ROW(Daten!A68))),"")</f>
        <v/>
      </c>
      <c r="I115" s="4"/>
      <c r="J115" s="2" t="str">
        <f t="array" aca="1" ref="J115" ca="1">IFERROR(INDEX(Daten!$AA$2:$AA$741,LARGE((Daten!$B$2:$B$741=Limits!$P$18)*(ROW(Daten!$B$2:$B$741)-1),COUNTIF(Daten!$B$2:$B$741,Limits!$P$18)+1-ROW(Daten!A68))),"")</f>
        <v/>
      </c>
      <c r="K115" s="14" t="str">
        <f t="array" aca="1" ref="K115" ca="1">IFERROR(INDEX(Daten!$AB$2:$AB$741,LARGE((Daten!$B$2:$B$741=Limits!$P$18)*(ROW(Daten!$B$2:$B$741)-1),COUNTIF(Daten!$B$2:$B$741,Limits!$P$18)+1-ROW(Daten!A68))),"")</f>
        <v/>
      </c>
      <c r="L115" s="10" t="str">
        <f t="array" aca="1" ref="L115" ca="1">IFERROR(INDEX(Daten!$AD$2:$AD$741,LARGE((Daten!$B$2:$B$741=Limits!$P$18)*(ROW(Daten!$B$2:$B$741)-1),COUNTIF(Daten!$B$2:$B$741,Limits!$P$18)+1-ROW(Daten!A68))),"")</f>
        <v/>
      </c>
      <c r="M115" s="14" t="str">
        <f t="array" aca="1" ref="M115" ca="1">IFERROR(INDEX(Daten!$AE$2:$AE$741,LARGE((Daten!$B$2:$B$741=Limits!$P$18)*(ROW(Daten!$B$2:$B$741)-1),COUNTIF(Daten!$B$2:$B$741,Limits!$P$18)+1-ROW(Daten!A68))),"")</f>
        <v/>
      </c>
      <c r="N115" s="2" t="str">
        <f t="array" aca="1" ref="N115" ca="1">IFERROR(INDEX(Daten!$AO$2:$AO$741,LARGE((Daten!$B$2:$B$741=Limits!$P$18)*(ROW(Daten!$B$2:$B$741)-1),COUNTIF(Daten!$B$2:$B$741,Limits!$P$18)+1-ROW(Daten!A68))),"")</f>
        <v/>
      </c>
      <c r="O115" s="18" t="str">
        <f t="array" aca="1" ref="O115" ca="1">IFERROR(INDEX(Daten!$AP$2:$AP$741,LARGE((Daten!$B$2:$B$741=Limits!$P$18)*(ROW(Daten!$B$2:$B$741)-1),COUNTIF(Daten!$B$2:$B$741,Limits!$P$18)+1-ROW(Daten!A68))),"")</f>
        <v/>
      </c>
      <c r="P115" t="str">
        <f t="array" aca="1" ref="P115" ca="1">IFERROR(INDEX(Daten!$AS$2:$AS$741,LARGE((Daten!$B$2:$B$741=Limits!$P$18)*(ROW(Daten!$B$2:$B$741)-1),COUNTIF(Daten!$B$2:$B$741,Limits!$P$18)+1-ROW(Daten!A68))),"")</f>
        <v/>
      </c>
      <c r="Q115" t="str">
        <f t="array" aca="1" ref="Q115" ca="1">IFERROR(INDEX(Daten!$AT$2:$AT$741,LARGE((Daten!$B$2:$B$741=Limits!$P$18)*(ROW(Daten!$B$2:$B$741)-1),COUNTIF(Daten!$B$2:$B$741,Limits!$P$18)+1-ROW(Daten!A68))),"")</f>
        <v/>
      </c>
    </row>
    <row r="116" spans="1:19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30"/>
      <c r="M116" s="13"/>
      <c r="N116" s="30"/>
      <c r="O116" s="13"/>
      <c r="P116" s="13"/>
      <c r="Q116" s="13"/>
    </row>
    <row r="117" spans="1:19" x14ac:dyDescent="0.25">
      <c r="A117" s="73">
        <f ca="1">SMALL(A118:A141,1)</f>
        <v>2.2000000000000011</v>
      </c>
      <c r="B117" s="13"/>
      <c r="C117" s="13"/>
      <c r="D117" s="13"/>
      <c r="E117" s="13"/>
      <c r="F117" s="13"/>
      <c r="G117" s="13"/>
      <c r="H117" s="13"/>
      <c r="I117" s="13"/>
      <c r="J117" s="13" t="s">
        <v>11</v>
      </c>
      <c r="K117" s="13"/>
      <c r="L117" s="30" t="s">
        <v>62</v>
      </c>
      <c r="M117" s="13"/>
      <c r="N117" s="30" t="s">
        <v>173</v>
      </c>
      <c r="O117" s="13"/>
      <c r="P117" s="13" t="str">
        <f ca="1">Sprache!$A$98</f>
        <v>Шарнир</v>
      </c>
      <c r="Q117" s="13">
        <f ca="1">Sprache!$A$100</f>
        <v>0</v>
      </c>
    </row>
    <row r="118" spans="1:19" x14ac:dyDescent="0.25">
      <c r="A118" s="73">
        <f ca="1">IFERROR(LARGE(R118:S118,1)-SMALL(R118:S118,1),"")</f>
        <v>2.2000000000000011</v>
      </c>
      <c r="B118" t="str">
        <f t="array" aca="1" ref="B118" ca="1">IFERROR(INDEX(Daten!$U$2:$U$741,LARGE((Daten!$A$2:$A$741=Limits!$P$18)*(ROW(Daten!$A$2:$A$741)-1),COUNTIF(Daten!$A$2:$A$741,Limits!$P$18)+1-ROW(Daten!A1))),"")</f>
        <v>F-20 Складной подъемник</v>
      </c>
      <c r="D118" t="str">
        <f t="array" aca="1" ref="D118" ca="1">IFERROR(INDEX(Daten!$AL$2:$AL$741,LARGE((Daten!$A$2:$A$741=Limits!$P$18)*(ROW(Daten!$A$2:$A$741)-1),COUNTIF(Daten!$A$2:$A$741,Limits!$P$18)+1-ROW(Daten!A1))),"")</f>
        <v>Комплект (Л + П)</v>
      </c>
      <c r="E118" t="str">
        <f t="array" aca="1" ref="E118" ca="1">IFERROR(INDEX(Daten!$AK$2:$AK$741,LARGE((Daten!$A$2:$A$741=Limits!$P$18)*(ROW(Daten!$A$2:$A$741)-1),COUNTIF(Daten!$A$2:$A$741,Limits!$P$18)+1-ROW(Daten!A1))),"")</f>
        <v>F152145246201</v>
      </c>
      <c r="F118" t="str">
        <f t="array" aca="1" ref="F118" ca="1">IFERROR(INDEX(Daten!$AM$2:$AM$741,LARGE((Daten!$A$2:$A$741=Limits!$P$18)*(ROW(Daten!$A$2:$A$741)-1),COUNTIF(Daten!$A$2:$A$741,Limits!$P$18)+1-ROW(Daten!A1))),"")</f>
        <v>Направляющий рычаг, тип 7</v>
      </c>
      <c r="H118" t="str">
        <f t="array" aca="1" ref="H118" ca="1">IFERROR(INDEX(Daten!$AN$2:$AN$741,LARGE((Daten!$A$2:$A$741=Limits!$P$18)*(ROW(Daten!$A$2:$A$741)-1),COUNTIF(Daten!$A$2:$A$741,Limits!$P$18)+1-ROW(Daten!A1))),"")</f>
        <v>Силовой механизм C</v>
      </c>
      <c r="J118">
        <f t="array" aca="1" ref="J118" ca="1">IFERROR(INDEX(Daten!$AA$2:$AA$741,LARGE((Daten!$A$2:$A$741=Limits!$P$18)*(ROW(Daten!$A$2:$A$741)-1),COUNTIF(Daten!$A$2:$A$741,Limits!$P$18)+1-ROW(Daten!A1))),"")</f>
        <v>750</v>
      </c>
      <c r="K118">
        <f t="array" aca="1" ref="K118" ca="1">IFERROR(INDEX(Daten!$AB$2:$AB$741,LARGE((Daten!$A$2:$A$741=Limits!$P$18)*(ROW(Daten!$A$2:$A$741)-1),COUNTIF(Daten!$A$2:$A$741,Limits!$P$18)+1-ROW(Daten!A1))),"")</f>
        <v>800</v>
      </c>
      <c r="L118" s="2">
        <f t="array" aca="1" ref="L118" ca="1">IFERROR(INDEX(Daten!$AD$2:$AD$741,LARGE((Daten!$A$2:$A$741=Limits!$P$18)*(ROW(Daten!$A$2:$A$741)-1),COUNTIF(Daten!$A$2:$A$741,Limits!$P$18)+1-ROW(Daten!A1))),"")</f>
        <v>6</v>
      </c>
      <c r="M118">
        <f t="array" aca="1" ref="M118" ca="1">IFERROR(INDEX(Daten!$AE$2:$AE$741,LARGE((Daten!$A$2:$A$741=Limits!$P$18)*(ROW(Daten!$A$2:$A$741)-1),COUNTIF(Daten!$A$2:$A$741,Limits!$P$18)+1-ROW(Daten!A1))),"")</f>
        <v>15.6</v>
      </c>
      <c r="N118" s="2" t="str">
        <f t="array" aca="1" ref="N118" ca="1">IFERROR(INDEX(Daten!$AO$2:$AO$741,LARGE((Daten!$A$2:$A$741=Limits!$P$18)*(ROW(Daten!$A$2:$A$741)-1),COUNTIF(Daten!$A$2:$A$741,Limits!$P$18)+1-ROW(Daten!A1))),"")</f>
        <v>-</v>
      </c>
      <c r="O118" t="str">
        <f t="array" aca="1" ref="O118" ca="1">IFERROR(INDEX(Daten!$AP$2:$AP$741,LARGE((Daten!$A$2:$A$741=Limits!$P$18)*(ROW(Daten!$A$2:$A$741)-1),COUNTIF(Daten!$A$2:$A$741,Limits!$P$18)+1-ROW(Daten!A1))),"")</f>
        <v>-</v>
      </c>
      <c r="P118" t="str">
        <f t="array" aca="1" ref="P118" ca="1">IFERROR(INDEX(Daten!$AS$2:$AS$741,LARGE((Daten!$A$2:$A$741=Limits!$P$18)*(ROW(Daten!$A$2:$A$741)-1),COUNTIF(Daten!$A$2:$A$741,Limits!$P$18)+1-ROW(Daten!A1))),"")</f>
        <v>TIOMOS 120° Шарнир</v>
      </c>
      <c r="Q118" t="str">
        <f t="array" aca="1" ref="Q118" ca="1">IFERROR(INDEX(Daten!$AT$2:$AT$741,LARGE((Daten!$A$2:$A$741=Limits!$P$18)*(ROW(Daten!$A$2:$A$741)-1),COUNTIF(Daten!$A$2:$A$741,Limits!$P$18)+1-ROW(Daten!A1))),"")</f>
        <v>1D° Монтажная плита</v>
      </c>
      <c r="R118" s="73">
        <f ca="1">IFERROR($I$70-L118,"")</f>
        <v>3.6999999999999993</v>
      </c>
      <c r="S118" s="73">
        <f ca="1">IFERROR(M118-$I$70,"")</f>
        <v>5.9</v>
      </c>
    </row>
    <row r="119" spans="1:19" x14ac:dyDescent="0.25">
      <c r="A119" s="73" t="str">
        <f ca="1">IFERROR(LARGE(R119:S119,1)-SMALL(P119:Q119,1),"")</f>
        <v/>
      </c>
      <c r="B119" t="str">
        <f t="array" aca="1" ref="B119" ca="1">IFERROR(INDEX(Daten!$U$2:$U$809,LARGE((Daten!$A$2:$A$809=Limits!$P$18)*(ROW(Daten!$A$2:$A$809)-1),COUNTIF(Daten!$A$2:$A$809,Limits!$P$18)+1-ROW(Daten!A2))),"")</f>
        <v>F-20 Складной подъемник</v>
      </c>
      <c r="D119" t="str">
        <f t="array" aca="1" ref="D119" ca="1">IFERROR(INDEX(Daten!$AL$2:$AL$741,LARGE((Daten!$A$2:$A$741=Limits!$P$18)*(ROW(Daten!$A$2:$A$741)-1),COUNTIF(Daten!$A$2:$A$741,Limits!$P$18)+1-ROW(Daten!A2))),"")</f>
        <v>Комплект (Л + П)</v>
      </c>
      <c r="E119" t="str">
        <f t="array" aca="1" ref="E119" ca="1">IFERROR(INDEX(Daten!$AK$2:$AK$741,LARGE((Daten!$A$2:$A$741=Limits!$P$18)*(ROW(Daten!$A$2:$A$741)-1),COUNTIF(Daten!$A$2:$A$741,Limits!$P$18)+1-ROW(Daten!A2))),"")</f>
        <v>F152145247201</v>
      </c>
      <c r="F119" t="str">
        <f t="array" aca="1" ref="F119" ca="1">IFERROR(INDEX(Daten!$AM$2:$AM$741,LARGE((Daten!$A$2:$A$741=Limits!$P$18)*(ROW(Daten!$A$2:$A$741)-1),COUNTIF(Daten!$A$2:$A$741,Limits!$P$18)+1-ROW(Daten!A2))),"")</f>
        <v>Направляющий рычаг, тип 7</v>
      </c>
      <c r="H119" t="str">
        <f t="array" aca="1" ref="H119" ca="1">IFERROR(INDEX(Daten!$AN$2:$AN$741,LARGE((Daten!$A$2:$A$741=Limits!$P$18)*(ROW(Daten!$A$2:$A$741)-1),COUNTIF(Daten!$A$2:$A$741,Limits!$P$18)+1-ROW(Daten!A2))),"")</f>
        <v>Силовой механизм D</v>
      </c>
      <c r="J119">
        <f t="array" aca="1" ref="J119" ca="1">IFERROR(INDEX(Daten!$AA$2:$AA$741,LARGE((Daten!$A$2:$A$741=Limits!$P$18)*(ROW(Daten!$A$2:$A$741)-1),COUNTIF(Daten!$A$2:$A$741,Limits!$P$18)+1-ROW(Daten!A2))),"")</f>
        <v>750</v>
      </c>
      <c r="K119">
        <f t="array" aca="1" ref="K119" ca="1">IFERROR(INDEX(Daten!$AB$2:$AB$741,LARGE((Daten!$A$2:$A$741=Limits!$P$18)*(ROW(Daten!$A$2:$A$741)-1),COUNTIF(Daten!$A$2:$A$741,Limits!$P$18)+1-ROW(Daten!A2))),"")</f>
        <v>800</v>
      </c>
      <c r="L119" s="2">
        <f t="array" aca="1" ref="L119" ca="1">IFERROR(INDEX(Daten!$AD$2:$AD$741,LARGE((Daten!$A$2:$A$741=Limits!$P$18)*(ROW(Daten!$A$2:$A$741)-1),COUNTIF(Daten!$A$2:$A$741,Limits!$P$18)+1-ROW(Daten!A2))),"")</f>
        <v>8.6</v>
      </c>
      <c r="M119">
        <f t="array" aca="1" ref="M119" ca="1">IFERROR(INDEX(Daten!$AE$2:$AE$741,LARGE((Daten!$A$2:$A$741=Limits!$P$18)*(ROW(Daten!$A$2:$A$741)-1),COUNTIF(Daten!$A$2:$A$741,Limits!$P$18)+1-ROW(Daten!A2))),"")</f>
        <v>19.2</v>
      </c>
      <c r="N119" s="2" t="str">
        <f t="array" aca="1" ref="N119" ca="1">IFERROR(INDEX(Daten!$AO$2:$AO$741,LARGE((Daten!$A$2:$A$741=Limits!$P$18)*(ROW(Daten!$A$2:$A$741)-1),COUNTIF(Daten!$A$2:$A$741,Limits!$P$18)+1-ROW(Daten!A2))),"")</f>
        <v>-</v>
      </c>
      <c r="O119" t="str">
        <f t="array" aca="1" ref="O119" ca="1">IFERROR(INDEX(Daten!$AP$2:$AP$741,LARGE((Daten!$A$2:$A$741=Limits!$P$18)*(ROW(Daten!$A$2:$A$741)-1),COUNTIF(Daten!$A$2:$A$741,Limits!$P$18)+1-ROW(Daten!A2))),"")</f>
        <v>-</v>
      </c>
      <c r="P119" t="str">
        <f t="array" aca="1" ref="P119" ca="1">IFERROR(INDEX(Daten!$AS$2:$AS$741,LARGE((Daten!$A$2:$A$741=Limits!$P$18)*(ROW(Daten!$A$2:$A$741)-1),COUNTIF(Daten!$A$2:$A$741,Limits!$P$18)+1-ROW(Daten!A2))),"")</f>
        <v>TIOMOS 120° Шарнир</v>
      </c>
      <c r="Q119" t="str">
        <f t="array" aca="1" ref="Q119" ca="1">IFERROR(INDEX(Daten!$AT$2:$AT$741,LARGE((Daten!$A$2:$A$741=Limits!$P$18)*(ROW(Daten!$A$2:$A$741)-1),COUNTIF(Daten!$A$2:$A$741,Limits!$P$18)+1-ROW(Daten!A2))),"")</f>
        <v>1D° Монтажная плита</v>
      </c>
      <c r="R119" s="73">
        <f t="shared" ref="R119:R141" ca="1" si="1">IFERROR($I$70-L119,"")</f>
        <v>1.0999999999999996</v>
      </c>
      <c r="S119" s="73">
        <f t="shared" ref="S119:S141" ca="1" si="2">IFERROR(M119-$I$70,"")</f>
        <v>9.5</v>
      </c>
    </row>
    <row r="120" spans="1:19" x14ac:dyDescent="0.25">
      <c r="A120" s="73" t="str">
        <f t="shared" ref="A120:A140" ca="1" si="3">IFERROR(LARGE(R120:S120,1)-SMALL(P120:Q120,1),"")</f>
        <v/>
      </c>
      <c r="B120" t="str">
        <f t="array" aca="1" ref="B120" ca="1">IFERROR(INDEX(Daten!$U$2:$U$741,LARGE((Daten!$A$2:$A$741=Limits!$P$18)*(ROW(Daten!$A$2:$A$741)-1),COUNTIF(Daten!$A$2:$A$741,Limits!$P$18)+1-ROW(Daten!A3))),"")</f>
        <v/>
      </c>
      <c r="D120" t="str">
        <f t="array" aca="1" ref="D120" ca="1">IFERROR(INDEX(Daten!$AL$2:$AL$741,LARGE((Daten!$A$2:$A$741=Limits!$P$18)*(ROW(Daten!$A$2:$A$741)-1),COUNTIF(Daten!$A$2:$A$741,Limits!$P$18)+1-ROW(Daten!A3))),"")</f>
        <v/>
      </c>
      <c r="E120" t="str">
        <f t="array" aca="1" ref="E120" ca="1">IFERROR(INDEX(Daten!$AK$2:$AK$741,LARGE((Daten!$A$2:$A$741=Limits!$P$18)*(ROW(Daten!$A$2:$A$741)-1),COUNTIF(Daten!$A$2:$A$741,Limits!$P$18)+1-ROW(Daten!A3))),"")</f>
        <v/>
      </c>
      <c r="F120" t="str">
        <f t="array" aca="1" ref="F120" ca="1">IFERROR(INDEX(Daten!$AM$2:$AM$741,LARGE((Daten!$A$2:$A$741=Limits!$P$18)*(ROW(Daten!$A$2:$A$741)-1),COUNTIF(Daten!$A$2:$A$741,Limits!$P$18)+1-ROW(Daten!A3))),"")</f>
        <v/>
      </c>
      <c r="H120" t="str">
        <f t="array" aca="1" ref="H120" ca="1">IFERROR(INDEX(Daten!$AN$2:$AN$741,LARGE((Daten!$A$2:$A$741=Limits!$P$18)*(ROW(Daten!$A$2:$A$741)-1),COUNTIF(Daten!$A$2:$A$741,Limits!$P$18)+1-ROW(Daten!A3))),"")</f>
        <v/>
      </c>
      <c r="J120" t="str">
        <f t="array" aca="1" ref="J120" ca="1">IFERROR(INDEX(Daten!$AA$2:$AA$741,LARGE((Daten!$A$2:$A$741=Limits!$P$18)*(ROW(Daten!$A$2:$A$741)-1),COUNTIF(Daten!$A$2:$A$741,Limits!$P$18)+1-ROW(Daten!A3))),"")</f>
        <v/>
      </c>
      <c r="K120" t="str">
        <f t="array" aca="1" ref="K120" ca="1">IFERROR(INDEX(Daten!$AB$2:$AB$741,LARGE((Daten!$A$2:$A$741=Limits!$P$18)*(ROW(Daten!$A$2:$A$741)-1),COUNTIF(Daten!$A$2:$A$741,Limits!$P$18)+1-ROW(Daten!A3))),"")</f>
        <v/>
      </c>
      <c r="L120" s="2" t="str">
        <f t="array" aca="1" ref="L120" ca="1">IFERROR(INDEX(Daten!$AD$2:$AD$741,LARGE((Daten!$A$2:$A$741=Limits!$P$18)*(ROW(Daten!$A$2:$A$741)-1),COUNTIF(Daten!$A$2:$A$741,Limits!$P$18)+1-ROW(Daten!A3))),"")</f>
        <v/>
      </c>
      <c r="M120" t="str">
        <f t="array" aca="1" ref="M120" ca="1">IFERROR(INDEX(Daten!$AE$2:$AE$741,LARGE((Daten!$A$2:$A$741=Limits!$P$18)*(ROW(Daten!$A$2:$A$741)-1),COUNTIF(Daten!$A$2:$A$741,Limits!$P$18)+1-ROW(Daten!A3))),"")</f>
        <v/>
      </c>
      <c r="N120" s="2" t="str">
        <f t="array" aca="1" ref="N120" ca="1">IFERROR(INDEX(Daten!$AO$2:$AO$741,LARGE((Daten!$A$2:$A$741=Limits!$P$18)*(ROW(Daten!$A$2:$A$741)-1),COUNTIF(Daten!$A$2:$A$741,Limits!$P$18)+1-ROW(Daten!A3))),"")</f>
        <v/>
      </c>
      <c r="O120" t="str">
        <f t="array" aca="1" ref="O120" ca="1">IFERROR(INDEX(Daten!$AP$2:$AP$741,LARGE((Daten!$A$2:$A$741=Limits!$P$18)*(ROW(Daten!$A$2:$A$741)-1),COUNTIF(Daten!$A$2:$A$741,Limits!$P$18)+1-ROW(Daten!A3))),"")</f>
        <v/>
      </c>
      <c r="P120" t="str">
        <f t="array" aca="1" ref="P120" ca="1">IFERROR(INDEX(Daten!$AS$2:$AS$741,LARGE((Daten!$A$2:$A$741=Limits!$P$18)*(ROW(Daten!$A$2:$A$741)-1),COUNTIF(Daten!$A$2:$A$741,Limits!$P$18)+1-ROW(Daten!A3))),"")</f>
        <v/>
      </c>
      <c r="Q120" t="str">
        <f t="array" aca="1" ref="Q120" ca="1">IFERROR(INDEX(Daten!$AT$2:$AT$741,LARGE((Daten!$A$2:$A$741=Limits!$P$18)*(ROW(Daten!$A$2:$A$741)-1),COUNTIF(Daten!$A$2:$A$741,Limits!$P$18)+1-ROW(Daten!A3))),"")</f>
        <v/>
      </c>
      <c r="R120" s="73" t="str">
        <f t="shared" ca="1" si="1"/>
        <v/>
      </c>
      <c r="S120" s="73" t="str">
        <f t="shared" ca="1" si="2"/>
        <v/>
      </c>
    </row>
    <row r="121" spans="1:19" x14ac:dyDescent="0.25">
      <c r="A121" s="73" t="str">
        <f t="shared" ca="1" si="3"/>
        <v/>
      </c>
      <c r="B121" t="str">
        <f t="array" aca="1" ref="B121" ca="1">IFERROR(INDEX(Daten!$U$2:$U$741,LARGE((Daten!$A$2:$A$741=Limits!$P$18)*(ROW(Daten!$A$2:$A$741)-1),COUNTIF(Daten!$A$2:$A$741,Limits!$P$18)+1-ROW(Daten!A4))),"")</f>
        <v/>
      </c>
      <c r="D121" t="str">
        <f t="array" aca="1" ref="D121" ca="1">IFERROR(INDEX(Daten!$AL$2:$AL$741,LARGE((Daten!$A$2:$A$741=Limits!$P$18)*(ROW(Daten!$A$2:$A$741)-1),COUNTIF(Daten!$A$2:$A$741,Limits!$P$18)+1-ROW(Daten!A4))),"")</f>
        <v/>
      </c>
      <c r="E121" t="str">
        <f t="array" aca="1" ref="E121" ca="1">IFERROR(INDEX(Daten!$AK$2:$AK$741,LARGE((Daten!$A$2:$A$741=Limits!$P$18)*(ROW(Daten!$A$2:$A$741)-1),COUNTIF(Daten!$A$2:$A$741,Limits!$P$18)+1-ROW(Daten!A4))),"")</f>
        <v/>
      </c>
      <c r="F121" t="str">
        <f t="array" aca="1" ref="F121" ca="1">IFERROR(INDEX(Daten!$AM$2:$AM$741,LARGE((Daten!$A$2:$A$741=Limits!$P$18)*(ROW(Daten!$A$2:$A$741)-1),COUNTIF(Daten!$A$2:$A$741,Limits!$P$18)+1-ROW(Daten!A4))),"")</f>
        <v/>
      </c>
      <c r="H121" t="str">
        <f t="array" aca="1" ref="H121" ca="1">IFERROR(INDEX(Daten!$AN$2:$AN$741,LARGE((Daten!$A$2:$A$741=Limits!$P$18)*(ROW(Daten!$A$2:$A$741)-1),COUNTIF(Daten!$A$2:$A$741,Limits!$P$18)+1-ROW(Daten!A4))),"")</f>
        <v/>
      </c>
      <c r="J121" t="str">
        <f t="array" aca="1" ref="J121" ca="1">IFERROR(INDEX(Daten!$AA$2:$AA$741,LARGE((Daten!$A$2:$A$741=Limits!$P$18)*(ROW(Daten!$A$2:$A$741)-1),COUNTIF(Daten!$A$2:$A$741,Limits!$P$18)+1-ROW(Daten!A4))),"")</f>
        <v/>
      </c>
      <c r="K121" t="str">
        <f t="array" aca="1" ref="K121" ca="1">IFERROR(INDEX(Daten!$AB$2:$AB$809,LARGE((Daten!$A$2:$A$809=Limits!$P$18)*(ROW(Daten!$A$2:$A$809)-1),COUNTIF(Daten!$A$2:$A$809,Limits!$P$18)+1-ROW(Daten!A4))),"")</f>
        <v/>
      </c>
      <c r="L121" s="2" t="str">
        <f t="array" aca="1" ref="L121" ca="1">IFERROR(INDEX(Daten!$AD$2:$AD$741,LARGE((Daten!$A$2:$A$741=Limits!$P$18)*(ROW(Daten!$A$2:$A$741)-1),COUNTIF(Daten!$A$2:$A$741,Limits!$P$18)+1-ROW(Daten!A4))),"")</f>
        <v/>
      </c>
      <c r="M121" t="str">
        <f t="array" aca="1" ref="M121" ca="1">IFERROR(INDEX(Daten!$AE$2:$AE$741,LARGE((Daten!$A$2:$A$741=Limits!$P$18)*(ROW(Daten!$A$2:$A$741)-1),COUNTIF(Daten!$A$2:$A$741,Limits!$P$18)+1-ROW(Daten!A4))),"")</f>
        <v/>
      </c>
      <c r="N121" s="2" t="str">
        <f t="array" aca="1" ref="N121" ca="1">IFERROR(INDEX(Daten!$AO$2:$AO$741,LARGE((Daten!$A$2:$A$741=Limits!$P$18)*(ROW(Daten!$A$2:$A$741)-1),COUNTIF(Daten!$A$2:$A$741,Limits!$P$18)+1-ROW(Daten!A4))),"")</f>
        <v/>
      </c>
      <c r="O121" t="str">
        <f t="array" aca="1" ref="O121" ca="1">IFERROR(INDEX(Daten!$AP$2:$AP$741,LARGE((Daten!$A$2:$A$741=Limits!$P$18)*(ROW(Daten!$A$2:$A$741)-1),COUNTIF(Daten!$A$2:$A$741,Limits!$P$18)+1-ROW(Daten!A4))),"")</f>
        <v/>
      </c>
      <c r="P121" t="str">
        <f t="array" aca="1" ref="P121" ca="1">IFERROR(INDEX(Daten!$AS$2:$AS$741,LARGE((Daten!$A$2:$A$741=Limits!$P$18)*(ROW(Daten!$A$2:$A$741)-1),COUNTIF(Daten!$A$2:$A$741,Limits!$P$18)+1-ROW(Daten!A4))),"")</f>
        <v/>
      </c>
      <c r="Q121" t="str">
        <f t="array" aca="1" ref="Q121" ca="1">IFERROR(INDEX(Daten!$AT$2:$AT$741,LARGE((Daten!$A$2:$A$741=Limits!$P$18)*(ROW(Daten!$A$2:$A$741)-1),COUNTIF(Daten!$A$2:$A$741,Limits!$P$18)+1-ROW(Daten!A4))),"")</f>
        <v/>
      </c>
      <c r="R121" s="73" t="str">
        <f t="shared" ca="1" si="1"/>
        <v/>
      </c>
      <c r="S121" s="73" t="str">
        <f t="shared" ca="1" si="2"/>
        <v/>
      </c>
    </row>
    <row r="122" spans="1:19" x14ac:dyDescent="0.25">
      <c r="A122" s="73" t="str">
        <f t="shared" ca="1" si="3"/>
        <v/>
      </c>
      <c r="B122" t="str">
        <f t="array" aca="1" ref="B122" ca="1">IFERROR(INDEX(Daten!$U$2:$U$741,LARGE((Daten!$A$2:$A$741=Limits!$P$18)*(ROW(Daten!$A$2:$A$741)-1),COUNTIF(Daten!$A$2:$A$741,Limits!$P$18)+1-ROW(Daten!A5))),"")</f>
        <v/>
      </c>
      <c r="D122" t="str">
        <f t="array" aca="1" ref="D122" ca="1">IFERROR(INDEX(Daten!$AL$2:$AL$741,LARGE((Daten!$A$2:$A$741=Limits!$P$18)*(ROW(Daten!$A$2:$A$741)-1),COUNTIF(Daten!$A$2:$A$741,Limits!$P$18)+1-ROW(Daten!A5))),"")</f>
        <v/>
      </c>
      <c r="E122" t="str">
        <f t="array" aca="1" ref="E122" ca="1">IFERROR(INDEX(Daten!$AK$2:$AK$741,LARGE((Daten!$A$2:$A$741=Limits!$P$18)*(ROW(Daten!$A$2:$A$741)-1),COUNTIF(Daten!$A$2:$A$741,Limits!$P$18)+1-ROW(Daten!A5))),"")</f>
        <v/>
      </c>
      <c r="F122" t="str">
        <f t="array" aca="1" ref="F122" ca="1">IFERROR(INDEX(Daten!$AM$2:$AM$741,LARGE((Daten!$A$2:$A$741=Limits!$P$18)*(ROW(Daten!$A$2:$A$741)-1),COUNTIF(Daten!$A$2:$A$741,Limits!$P$18)+1-ROW(Daten!A5))),"")</f>
        <v/>
      </c>
      <c r="H122" t="str">
        <f t="array" aca="1" ref="H122" ca="1">IFERROR(INDEX(Daten!$AN$2:$AN$741,LARGE((Daten!$A$2:$A$741=Limits!$P$18)*(ROW(Daten!$A$2:$A$741)-1),COUNTIF(Daten!$A$2:$A$741,Limits!$P$18)+1-ROW(Daten!A5))),"")</f>
        <v/>
      </c>
      <c r="J122" t="str">
        <f t="array" aca="1" ref="J122" ca="1">IFERROR(INDEX(Daten!$AA$2:$AA$741,LARGE((Daten!$A$2:$A$741=Limits!$P$18)*(ROW(Daten!$A$2:$A$741)-1),COUNTIF(Daten!$A$2:$A$741,Limits!$P$18)+1-ROW(Daten!A5))),"")</f>
        <v/>
      </c>
      <c r="K122" t="str">
        <f t="array" aca="1" ref="K122" ca="1">IFERROR(INDEX(Daten!$AB$2:$AB$741,LARGE((Daten!$A$2:$A$741=Limits!$P$18)*(ROW(Daten!$A$2:$A$741)-1),COUNTIF(Daten!$A$2:$A$741,Limits!$P$18)+1-ROW(Daten!A5))),"")</f>
        <v/>
      </c>
      <c r="L122" s="2" t="str">
        <f t="array" aca="1" ref="L122" ca="1">IFERROR(INDEX(Daten!$AD$2:$AD$741,LARGE((Daten!$A$2:$A$741=Limits!$P$18)*(ROW(Daten!$A$2:$A$741)-1),COUNTIF(Daten!$A$2:$A$741,Limits!$P$18)+1-ROW(Daten!A5))),"")</f>
        <v/>
      </c>
      <c r="M122" t="str">
        <f t="array" aca="1" ref="M122" ca="1">IFERROR(INDEX(Daten!$AE$2:$AE$741,LARGE((Daten!$A$2:$A$741=Limits!$P$18)*(ROW(Daten!$A$2:$A$741)-1),COUNTIF(Daten!$A$2:$A$741,Limits!$P$18)+1-ROW(Daten!A5))),"")</f>
        <v/>
      </c>
      <c r="N122" s="2" t="str">
        <f t="array" aca="1" ref="N122" ca="1">IFERROR(INDEX(Daten!$AO$2:$AO$741,LARGE((Daten!$A$2:$A$741=Limits!$P$18)*(ROW(Daten!$A$2:$A$741)-1),COUNTIF(Daten!$A$2:$A$741,Limits!$P$18)+1-ROW(Daten!A5))),"")</f>
        <v/>
      </c>
      <c r="O122" t="str">
        <f t="array" aca="1" ref="O122" ca="1">IFERROR(INDEX(Daten!$AP$2:$AP$741,LARGE((Daten!$A$2:$A$741=Limits!$P$18)*(ROW(Daten!$A$2:$A$741)-1),COUNTIF(Daten!$A$2:$A$741,Limits!$P$18)+1-ROW(Daten!A5))),"")</f>
        <v/>
      </c>
      <c r="P122" t="str">
        <f t="array" aca="1" ref="P122" ca="1">IFERROR(INDEX(Daten!$AS$2:$AS$741,LARGE((Daten!$A$2:$A$741=Limits!$P$18)*(ROW(Daten!$A$2:$A$741)-1),COUNTIF(Daten!$A$2:$A$741,Limits!$P$18)+1-ROW(Daten!A5))),"")</f>
        <v/>
      </c>
      <c r="Q122" t="str">
        <f t="array" aca="1" ref="Q122" ca="1">IFERROR(INDEX(Daten!$AT$2:$AT$741,LARGE((Daten!$A$2:$A$741=Limits!$P$18)*(ROW(Daten!$A$2:$A$741)-1),COUNTIF(Daten!$A$2:$A$741,Limits!$P$18)+1-ROW(Daten!A5))),"")</f>
        <v/>
      </c>
      <c r="R122" s="73" t="str">
        <f t="shared" ca="1" si="1"/>
        <v/>
      </c>
      <c r="S122" s="73" t="str">
        <f t="shared" ca="1" si="2"/>
        <v/>
      </c>
    </row>
    <row r="123" spans="1:19" x14ac:dyDescent="0.25">
      <c r="A123" s="73" t="str">
        <f t="shared" ca="1" si="3"/>
        <v/>
      </c>
      <c r="B123" t="str">
        <f t="array" aca="1" ref="B123" ca="1">IFERROR(INDEX(Daten!$U$2:$U$741,LARGE((Daten!$A$2:$A$741=Limits!$P$18)*(ROW(Daten!$A$2:$A$741)-1),COUNTIF(Daten!$A$2:$A$741,Limits!$P$18)+1-ROW(Daten!A6))),"")</f>
        <v/>
      </c>
      <c r="D123" t="str">
        <f t="array" aca="1" ref="D123" ca="1">IFERROR(INDEX(Daten!$AL$2:$AL$741,LARGE((Daten!$A$2:$A$741=Limits!$P$18)*(ROW(Daten!$A$2:$A$741)-1),COUNTIF(Daten!$A$2:$A$741,Limits!$P$18)+1-ROW(Daten!A6))),"")</f>
        <v/>
      </c>
      <c r="E123" t="str">
        <f t="array" aca="1" ref="E123" ca="1">IFERROR(INDEX(Daten!$AK$2:$AK$741,LARGE((Daten!$A$2:$A$741=Limits!$P$18)*(ROW(Daten!$A$2:$A$741)-1),COUNTIF(Daten!$A$2:$A$741,Limits!$P$18)+1-ROW(Daten!A6))),"")</f>
        <v/>
      </c>
      <c r="F123" t="str">
        <f t="array" aca="1" ref="F123" ca="1">IFERROR(INDEX(Daten!$AM$2:$AM$741,LARGE((Daten!$A$2:$A$741=Limits!$P$18)*(ROW(Daten!$A$2:$A$741)-1),COUNTIF(Daten!$A$2:$A$741,Limits!$P$18)+1-ROW(Daten!A6))),"")</f>
        <v/>
      </c>
      <c r="H123" t="str">
        <f t="array" aca="1" ref="H123" ca="1">IFERROR(INDEX(Daten!$AN$2:$AN$741,LARGE((Daten!$A$2:$A$741=Limits!$P$18)*(ROW(Daten!$A$2:$A$741)-1),COUNTIF(Daten!$A$2:$A$741,Limits!$P$18)+1-ROW(Daten!A6))),"")</f>
        <v/>
      </c>
      <c r="J123" t="str">
        <f t="array" aca="1" ref="J123" ca="1">IFERROR(INDEX(Daten!$AA$2:$AA$741,LARGE((Daten!$A$2:$A$741=Limits!$P$18)*(ROW(Daten!$A$2:$A$741)-1),COUNTIF(Daten!$A$2:$A$741,Limits!$P$18)+1-ROW(Daten!A6))),"")</f>
        <v/>
      </c>
      <c r="K123" t="str">
        <f t="array" aca="1" ref="K123" ca="1">IFERROR(INDEX(Daten!$AB$2:$AB$741,LARGE((Daten!$A$2:$A$741=Limits!$P$18)*(ROW(Daten!$A$2:$A$741)-1),COUNTIF(Daten!$A$2:$A$741,Limits!$P$18)+1-ROW(Daten!A6))),"")</f>
        <v/>
      </c>
      <c r="L123" s="2" t="str">
        <f t="array" aca="1" ref="L123" ca="1">IFERROR(INDEX(Daten!$AD$2:$AD$741,LARGE((Daten!$A$2:$A$741=Limits!$P$18)*(ROW(Daten!$A$2:$A$741)-1),COUNTIF(Daten!$A$2:$A$741,Limits!$P$18)+1-ROW(Daten!A6))),"")</f>
        <v/>
      </c>
      <c r="M123" t="str">
        <f t="array" aca="1" ref="M123" ca="1">IFERROR(INDEX(Daten!$AE$2:$AE$741,LARGE((Daten!$A$2:$A$741=Limits!$P$18)*(ROW(Daten!$A$2:$A$741)-1),COUNTIF(Daten!$A$2:$A$741,Limits!$P$18)+1-ROW(Daten!A6))),"")</f>
        <v/>
      </c>
      <c r="N123" s="2" t="str">
        <f t="array" aca="1" ref="N123" ca="1">IFERROR(INDEX(Daten!$AO$2:$AO$741,LARGE((Daten!$A$2:$A$741=Limits!$P$18)*(ROW(Daten!$A$2:$A$741)-1),COUNTIF(Daten!$A$2:$A$741,Limits!$P$18)+1-ROW(Daten!A6))),"")</f>
        <v/>
      </c>
      <c r="O123" t="str">
        <f t="array" aca="1" ref="O123" ca="1">IFERROR(INDEX(Daten!$AP$2:$AP$741,LARGE((Daten!$A$2:$A$741=Limits!$P$18)*(ROW(Daten!$A$2:$A$741)-1),COUNTIF(Daten!$A$2:$A$741,Limits!$P$18)+1-ROW(Daten!A6))),"")</f>
        <v/>
      </c>
      <c r="P123" t="str">
        <f t="array" aca="1" ref="P123" ca="1">IFERROR(INDEX(Daten!$AS$2:$AS$741,LARGE((Daten!$A$2:$A$741=Limits!$P$18)*(ROW(Daten!$A$2:$A$741)-1),COUNTIF(Daten!$A$2:$A$741,Limits!$P$18)+1-ROW(Daten!A6))),"")</f>
        <v/>
      </c>
      <c r="Q123" t="str">
        <f t="array" aca="1" ref="Q123" ca="1">IFERROR(INDEX(Daten!$AT$2:$AT$741,LARGE((Daten!$A$2:$A$741=Limits!$P$18)*(ROW(Daten!$A$2:$A$741)-1),COUNTIF(Daten!$A$2:$A$741,Limits!$P$18)+1-ROW(Daten!A6))),"")</f>
        <v/>
      </c>
      <c r="R123" s="73" t="str">
        <f t="shared" ca="1" si="1"/>
        <v/>
      </c>
      <c r="S123" s="73" t="str">
        <f t="shared" ca="1" si="2"/>
        <v/>
      </c>
    </row>
    <row r="124" spans="1:19" x14ac:dyDescent="0.25">
      <c r="A124" s="73" t="str">
        <f t="shared" ca="1" si="3"/>
        <v/>
      </c>
      <c r="B124" t="str">
        <f t="array" aca="1" ref="B124" ca="1">IFERROR(INDEX(Daten!$U$2:$U$741,LARGE((Daten!$A$2:$A$741=Limits!$P$18)*(ROW(Daten!$A$2:$A$741)-1),COUNTIF(Daten!$A$2:$A$741,Limits!$P$18)+1-ROW(Daten!A7))),"")</f>
        <v/>
      </c>
      <c r="D124" t="str">
        <f t="array" aca="1" ref="D124" ca="1">IFERROR(INDEX(Daten!$AL$2:$AL$741,LARGE((Daten!$A$2:$A$741=Limits!$P$18)*(ROW(Daten!$A$2:$A$741)-1),COUNTIF(Daten!$A$2:$A$741,Limits!$P$18)+1-ROW(Daten!A7))),"")</f>
        <v/>
      </c>
      <c r="E124" t="str">
        <f t="array" aca="1" ref="E124" ca="1">IFERROR(INDEX(Daten!$AK$2:$AK$741,LARGE((Daten!$A$2:$A$741=Limits!$P$18)*(ROW(Daten!$A$2:$A$741)-1),COUNTIF(Daten!$A$2:$A$741,Limits!$P$18)+1-ROW(Daten!A7))),"")</f>
        <v/>
      </c>
      <c r="F124" t="str">
        <f t="array" aca="1" ref="F124" ca="1">IFERROR(INDEX(Daten!$AM$2:$AM$741,LARGE((Daten!$A$2:$A$741=Limits!$P$18)*(ROW(Daten!$A$2:$A$741)-1),COUNTIF(Daten!$A$2:$A$741,Limits!$P$18)+1-ROW(Daten!A7))),"")</f>
        <v/>
      </c>
      <c r="H124" t="str">
        <f t="array" aca="1" ref="H124" ca="1">IFERROR(INDEX(Daten!$AN$2:$AN$741,LARGE((Daten!$A$2:$A$741=Limits!$P$18)*(ROW(Daten!$A$2:$A$741)-1),COUNTIF(Daten!$A$2:$A$741,Limits!$P$18)+1-ROW(Daten!A7))),"")</f>
        <v/>
      </c>
      <c r="J124" t="str">
        <f t="array" aca="1" ref="J124" ca="1">IFERROR(INDEX(Daten!$AA$2:$AA$741,LARGE((Daten!$A$2:$A$741=Limits!$P$18)*(ROW(Daten!$A$2:$A$741)-1),COUNTIF(Daten!$A$2:$A$741,Limits!$P$18)+1-ROW(Daten!A7))),"")</f>
        <v/>
      </c>
      <c r="K124" t="str">
        <f t="array" aca="1" ref="K124" ca="1">IFERROR(INDEX(Daten!$AB$2:$AB$741,LARGE((Daten!$A$2:$A$741=Limits!$P$18)*(ROW(Daten!$A$2:$A$741)-1),COUNTIF(Daten!$A$2:$A$741,Limits!$P$18)+1-ROW(Daten!A7))),"")</f>
        <v/>
      </c>
      <c r="L124" s="2" t="str">
        <f t="array" aca="1" ref="L124" ca="1">IFERROR(INDEX(Daten!$AD$2:$AD$741,LARGE((Daten!$A$2:$A$741=Limits!$P$18)*(ROW(Daten!$A$2:$A$741)-1),COUNTIF(Daten!$A$2:$A$741,Limits!$P$18)+1-ROW(Daten!A7))),"")</f>
        <v/>
      </c>
      <c r="M124" t="str">
        <f t="array" aca="1" ref="M124" ca="1">IFERROR(INDEX(Daten!$AE$2:$AE$741,LARGE((Daten!$A$2:$A$741=Limits!$P$18)*(ROW(Daten!$A$2:$A$741)-1),COUNTIF(Daten!$A$2:$A$741,Limits!$P$18)+1-ROW(Daten!A7))),"")</f>
        <v/>
      </c>
      <c r="N124" s="2" t="str">
        <f t="array" aca="1" ref="N124" ca="1">IFERROR(INDEX(Daten!$AO$2:$AO$741,LARGE((Daten!$A$2:$A$741=Limits!$P$18)*(ROW(Daten!$A$2:$A$741)-1),COUNTIF(Daten!$A$2:$A$741,Limits!$P$18)+1-ROW(Daten!A7))),"")</f>
        <v/>
      </c>
      <c r="O124" t="str">
        <f t="array" aca="1" ref="O124" ca="1">IFERROR(INDEX(Daten!$AP$2:$AP$741,LARGE((Daten!$A$2:$A$741=Limits!$P$18)*(ROW(Daten!$A$2:$A$741)-1),COUNTIF(Daten!$A$2:$A$741,Limits!$P$18)+1-ROW(Daten!A7))),"")</f>
        <v/>
      </c>
      <c r="P124" t="str">
        <f t="array" aca="1" ref="P124" ca="1">IFERROR(INDEX(Daten!$AS$2:$AS$741,LARGE((Daten!$A$2:$A$741=Limits!$P$18)*(ROW(Daten!$A$2:$A$741)-1),COUNTIF(Daten!$A$2:$A$741,Limits!$P$18)+1-ROW(Daten!A7))),"")</f>
        <v/>
      </c>
      <c r="Q124" t="str">
        <f t="array" aca="1" ref="Q124" ca="1">IFERROR(INDEX(Daten!$AT$2:$AT$741,LARGE((Daten!$A$2:$A$741=Limits!$P$18)*(ROW(Daten!$A$2:$A$741)-1),COUNTIF(Daten!$A$2:$A$741,Limits!$P$18)+1-ROW(Daten!A7))),"")</f>
        <v/>
      </c>
      <c r="R124" s="73" t="str">
        <f t="shared" ca="1" si="1"/>
        <v/>
      </c>
      <c r="S124" s="73" t="str">
        <f t="shared" ca="1" si="2"/>
        <v/>
      </c>
    </row>
    <row r="125" spans="1:19" x14ac:dyDescent="0.25">
      <c r="A125" s="73" t="str">
        <f t="shared" ca="1" si="3"/>
        <v/>
      </c>
      <c r="B125" t="str">
        <f t="array" aca="1" ref="B125" ca="1">IFERROR(INDEX(Daten!$U$2:$U$741,LARGE((Daten!$A$2:$A$741=Limits!$P$18)*(ROW(Daten!$A$2:$A$741)-1),COUNTIF(Daten!$A$2:$A$741,Limits!$P$18)+1-ROW(Daten!A8))),"")</f>
        <v/>
      </c>
      <c r="D125" t="str">
        <f t="array" aca="1" ref="D125" ca="1">IFERROR(INDEX(Daten!$AL$2:$AL$741,LARGE((Daten!$A$2:$A$741=Limits!$P$18)*(ROW(Daten!$A$2:$A$741)-1),COUNTIF(Daten!$A$2:$A$741,Limits!$P$18)+1-ROW(Daten!A8))),"")</f>
        <v/>
      </c>
      <c r="E125" t="str">
        <f t="array" aca="1" ref="E125" ca="1">IFERROR(INDEX(Daten!$AK$2:$AK$741,LARGE((Daten!$A$2:$A$741=Limits!$P$18)*(ROW(Daten!$A$2:$A$741)-1),COUNTIF(Daten!$A$2:$A$741,Limits!$P$18)+1-ROW(Daten!A8))),"")</f>
        <v/>
      </c>
      <c r="F125" t="str">
        <f t="array" aca="1" ref="F125" ca="1">IFERROR(INDEX(Daten!$AM$2:$AM$741,LARGE((Daten!$A$2:$A$741=Limits!$P$18)*(ROW(Daten!$A$2:$A$741)-1),COUNTIF(Daten!$A$2:$A$741,Limits!$P$18)+1-ROW(Daten!A8))),"")</f>
        <v/>
      </c>
      <c r="H125" t="str">
        <f t="array" aca="1" ref="H125" ca="1">IFERROR(INDEX(Daten!$AN$2:$AN$741,LARGE((Daten!$A$2:$A$741=Limits!$P$18)*(ROW(Daten!$A$2:$A$741)-1),COUNTIF(Daten!$A$2:$A$741,Limits!$P$18)+1-ROW(Daten!A8))),"")</f>
        <v/>
      </c>
      <c r="J125" t="str">
        <f t="array" aca="1" ref="J125" ca="1">IFERROR(INDEX(Daten!$AA$2:$AA$741,LARGE((Daten!$A$2:$A$741=Limits!$P$18)*(ROW(Daten!$A$2:$A$741)-1),COUNTIF(Daten!$A$2:$A$741,Limits!$P$18)+1-ROW(Daten!A8))),"")</f>
        <v/>
      </c>
      <c r="K125" t="str">
        <f t="array" aca="1" ref="K125" ca="1">IFERROR(INDEX(Daten!$AB$2:$AB$741,LARGE((Daten!$A$2:$A$741=Limits!$P$18)*(ROW(Daten!$A$2:$A$741)-1),COUNTIF(Daten!$A$2:$A$741,Limits!$P$18)+1-ROW(Daten!A8))),"")</f>
        <v/>
      </c>
      <c r="L125" s="2" t="str">
        <f t="array" aca="1" ref="L125" ca="1">IFERROR(INDEX(Daten!$AD$2:$AD$741,LARGE((Daten!$A$2:$A$741=Limits!$P$18)*(ROW(Daten!$A$2:$A$741)-1),COUNTIF(Daten!$A$2:$A$741,Limits!$P$18)+1-ROW(Daten!A8))),"")</f>
        <v/>
      </c>
      <c r="M125" t="str">
        <f t="array" aca="1" ref="M125" ca="1">IFERROR(INDEX(Daten!$AE$2:$AE$741,LARGE((Daten!$A$2:$A$741=Limits!$P$18)*(ROW(Daten!$A$2:$A$741)-1),COUNTIF(Daten!$A$2:$A$741,Limits!$P$18)+1-ROW(Daten!A8))),"")</f>
        <v/>
      </c>
      <c r="N125" s="2" t="str">
        <f t="array" aca="1" ref="N125" ca="1">IFERROR(INDEX(Daten!$AO$2:$AO$741,LARGE((Daten!$A$2:$A$741=Limits!$P$18)*(ROW(Daten!$A$2:$A$741)-1),COUNTIF(Daten!$A$2:$A$741,Limits!$P$18)+1-ROW(Daten!A8))),"")</f>
        <v/>
      </c>
      <c r="O125" t="str">
        <f t="array" aca="1" ref="O125" ca="1">IFERROR(INDEX(Daten!$AP$2:$AP$741,LARGE((Daten!$A$2:$A$741=Limits!$P$18)*(ROW(Daten!$A$2:$A$741)-1),COUNTIF(Daten!$A$2:$A$741,Limits!$P$18)+1-ROW(Daten!A8))),"")</f>
        <v/>
      </c>
      <c r="P125" t="str">
        <f t="array" aca="1" ref="P125" ca="1">IFERROR(INDEX(Daten!$AS$2:$AS$741,LARGE((Daten!$A$2:$A$741=Limits!$P$18)*(ROW(Daten!$A$2:$A$741)-1),COUNTIF(Daten!$A$2:$A$741,Limits!$P$18)+1-ROW(Daten!A8))),"")</f>
        <v/>
      </c>
      <c r="Q125" t="str">
        <f t="array" aca="1" ref="Q125" ca="1">IFERROR(INDEX(Daten!$AT$2:$AT$741,LARGE((Daten!$A$2:$A$741=Limits!$P$18)*(ROW(Daten!$A$2:$A$741)-1),COUNTIF(Daten!$A$2:$A$741,Limits!$P$18)+1-ROW(Daten!A8))),"")</f>
        <v/>
      </c>
      <c r="R125" s="73" t="str">
        <f t="shared" ca="1" si="1"/>
        <v/>
      </c>
      <c r="S125" s="73" t="str">
        <f t="shared" ca="1" si="2"/>
        <v/>
      </c>
    </row>
    <row r="126" spans="1:19" x14ac:dyDescent="0.25">
      <c r="A126" s="73" t="str">
        <f t="shared" ca="1" si="3"/>
        <v/>
      </c>
      <c r="B126" t="str">
        <f t="array" aca="1" ref="B126" ca="1">IFERROR(INDEX(Daten!$U$2:$U$741,LARGE((Daten!$A$2:$A$741=Limits!$P$18)*(ROW(Daten!$A$2:$A$741)-1),COUNTIF(Daten!$A$2:$A$741,Limits!$P$18)+1-ROW(Daten!A9))),"")</f>
        <v/>
      </c>
      <c r="D126" t="str">
        <f t="array" aca="1" ref="D126" ca="1">IFERROR(INDEX(Daten!$AL$2:$AL$741,LARGE((Daten!$A$2:$A$741=Limits!$P$18)*(ROW(Daten!$A$2:$A$741)-1),COUNTIF(Daten!$A$2:$A$741,Limits!$P$18)+1-ROW(Daten!A9))),"")</f>
        <v/>
      </c>
      <c r="E126" t="str">
        <f t="array" aca="1" ref="E126" ca="1">IFERROR(INDEX(Daten!$AK$2:$AK$741,LARGE((Daten!$A$2:$A$741=Limits!$P$18)*(ROW(Daten!$A$2:$A$741)-1),COUNTIF(Daten!$A$2:$A$741,Limits!$P$18)+1-ROW(Daten!A9))),"")</f>
        <v/>
      </c>
      <c r="F126" t="str">
        <f t="array" aca="1" ref="F126" ca="1">IFERROR(INDEX(Daten!$AM$2:$AM$741,LARGE((Daten!$A$2:$A$741=Limits!$P$18)*(ROW(Daten!$A$2:$A$741)-1),COUNTIF(Daten!$A$2:$A$741,Limits!$P$18)+1-ROW(Daten!A9))),"")</f>
        <v/>
      </c>
      <c r="H126" t="str">
        <f t="array" aca="1" ref="H126" ca="1">IFERROR(INDEX(Daten!$AN$2:$AN$741,LARGE((Daten!$A$2:$A$741=Limits!$P$18)*(ROW(Daten!$A$2:$A$741)-1),COUNTIF(Daten!$A$2:$A$741,Limits!$P$18)+1-ROW(Daten!A9))),"")</f>
        <v/>
      </c>
      <c r="J126" t="str">
        <f t="array" aca="1" ref="J126" ca="1">IFERROR(INDEX(Daten!$AA$2:$AA$741,LARGE((Daten!$A$2:$A$741=Limits!$P$18)*(ROW(Daten!$A$2:$A$741)-1),COUNTIF(Daten!$A$2:$A$741,Limits!$P$18)+1-ROW(Daten!A9))),"")</f>
        <v/>
      </c>
      <c r="K126" t="str">
        <f t="array" aca="1" ref="K126" ca="1">IFERROR(INDEX(Daten!$AB$2:$AB$741,LARGE((Daten!$A$2:$A$741=Limits!$P$18)*(ROW(Daten!$A$2:$A$741)-1),COUNTIF(Daten!$A$2:$A$741,Limits!$P$18)+1-ROW(Daten!A9))),"")</f>
        <v/>
      </c>
      <c r="L126" s="2" t="str">
        <f t="array" aca="1" ref="L126" ca="1">IFERROR(INDEX(Daten!$AD$2:$AD$741,LARGE((Daten!$A$2:$A$741=Limits!$P$18)*(ROW(Daten!$A$2:$A$741)-1),COUNTIF(Daten!$A$2:$A$741,Limits!$P$18)+1-ROW(Daten!A9))),"")</f>
        <v/>
      </c>
      <c r="M126" t="str">
        <f t="array" aca="1" ref="M126" ca="1">IFERROR(INDEX(Daten!$AE$2:$AE$741,LARGE((Daten!$A$2:$A$741=Limits!$P$18)*(ROW(Daten!$A$2:$A$741)-1),COUNTIF(Daten!$A$2:$A$741,Limits!$P$18)+1-ROW(Daten!A9))),"")</f>
        <v/>
      </c>
      <c r="N126" s="2" t="str">
        <f t="array" aca="1" ref="N126" ca="1">IFERROR(INDEX(Daten!$AO$2:$AO$741,LARGE((Daten!$A$2:$A$741=Limits!$P$18)*(ROW(Daten!$A$2:$A$741)-1),COUNTIF(Daten!$A$2:$A$741,Limits!$P$18)+1-ROW(Daten!A9))),"")</f>
        <v/>
      </c>
      <c r="O126" t="str">
        <f t="array" aca="1" ref="O126" ca="1">IFERROR(INDEX(Daten!$AP$2:$AP$741,LARGE((Daten!$A$2:$A$741=Limits!$P$18)*(ROW(Daten!$A$2:$A$741)-1),COUNTIF(Daten!$A$2:$A$741,Limits!$P$18)+1-ROW(Daten!A9))),"")</f>
        <v/>
      </c>
      <c r="P126" t="str">
        <f t="array" aca="1" ref="P126" ca="1">IFERROR(INDEX(Daten!$AS$2:$AS$741,LARGE((Daten!$A$2:$A$741=Limits!$P$18)*(ROW(Daten!$A$2:$A$741)-1),COUNTIF(Daten!$A$2:$A$741,Limits!$P$18)+1-ROW(Daten!A9))),"")</f>
        <v/>
      </c>
      <c r="Q126" t="str">
        <f t="array" aca="1" ref="Q126" ca="1">IFERROR(INDEX(Daten!$AT$2:$AT$741,LARGE((Daten!$A$2:$A$741=Limits!$P$18)*(ROW(Daten!$A$2:$A$741)-1),COUNTIF(Daten!$A$2:$A$741,Limits!$P$18)+1-ROW(Daten!A9))),"")</f>
        <v/>
      </c>
      <c r="R126" s="73" t="str">
        <f t="shared" ca="1" si="1"/>
        <v/>
      </c>
      <c r="S126" s="73" t="str">
        <f t="shared" ca="1" si="2"/>
        <v/>
      </c>
    </row>
    <row r="127" spans="1:19" x14ac:dyDescent="0.25">
      <c r="A127" s="73" t="str">
        <f t="shared" ca="1" si="3"/>
        <v/>
      </c>
      <c r="B127" t="str">
        <f t="array" aca="1" ref="B127" ca="1">IFERROR(INDEX(Daten!$U$2:$U$741,LARGE((Daten!$A$2:$A$741=Limits!$P$18)*(ROW(Daten!$A$2:$A$741)-1),COUNTIF(Daten!$A$2:$A$741,Limits!$P$18)+1-ROW(Daten!A10))),"")</f>
        <v/>
      </c>
      <c r="D127" t="str">
        <f t="array" aca="1" ref="D127" ca="1">IFERROR(INDEX(Daten!$AL$2:$AL$741,LARGE((Daten!$A$2:$A$741=Limits!$P$18)*(ROW(Daten!$A$2:$A$741)-1),COUNTIF(Daten!$A$2:$A$741,Limits!$P$18)+1-ROW(Daten!A10))),"")</f>
        <v/>
      </c>
      <c r="E127" t="str">
        <f t="array" aca="1" ref="E127" ca="1">IFERROR(INDEX(Daten!$AK$2:$AK$741,LARGE((Daten!$A$2:$A$741=Limits!$P$18)*(ROW(Daten!$A$2:$A$741)-1),COUNTIF(Daten!$A$2:$A$741,Limits!$P$18)+1-ROW(Daten!A10))),"")</f>
        <v/>
      </c>
      <c r="F127" t="str">
        <f t="array" aca="1" ref="F127" ca="1">IFERROR(INDEX(Daten!$AM$2:$AM$741,LARGE((Daten!$A$2:$A$741=Limits!$P$18)*(ROW(Daten!$A$2:$A$741)-1),COUNTIF(Daten!$A$2:$A$741,Limits!$P$18)+1-ROW(Daten!A10))),"")</f>
        <v/>
      </c>
      <c r="H127" t="str">
        <f t="array" aca="1" ref="H127" ca="1">IFERROR(INDEX(Daten!$AN$2:$AN$741,LARGE((Daten!$A$2:$A$741=Limits!$P$18)*(ROW(Daten!$A$2:$A$741)-1),COUNTIF(Daten!$A$2:$A$741,Limits!$P$18)+1-ROW(Daten!A10))),"")</f>
        <v/>
      </c>
      <c r="J127" t="str">
        <f t="array" aca="1" ref="J127" ca="1">IFERROR(INDEX(Daten!$AA$2:$AA$741,LARGE((Daten!$A$2:$A$741=Limits!$P$18)*(ROW(Daten!$A$2:$A$741)-1),COUNTIF(Daten!$A$2:$A$741,Limits!$P$18)+1-ROW(Daten!A10))),"")</f>
        <v/>
      </c>
      <c r="K127" t="str">
        <f t="array" aca="1" ref="K127" ca="1">IFERROR(INDEX(Daten!$AB$2:$AB$741,LARGE((Daten!$A$2:$A$741=Limits!$P$18)*(ROW(Daten!$A$2:$A$741)-1),COUNTIF(Daten!$A$2:$A$741,Limits!$P$18)+1-ROW(Daten!A10))),"")</f>
        <v/>
      </c>
      <c r="L127" s="2" t="str">
        <f t="array" aca="1" ref="L127" ca="1">IFERROR(INDEX(Daten!$AD$2:$AD$741,LARGE((Daten!$A$2:$A$741=Limits!$P$18)*(ROW(Daten!$A$2:$A$741)-1),COUNTIF(Daten!$A$2:$A$741,Limits!$P$18)+1-ROW(Daten!A10))),"")</f>
        <v/>
      </c>
      <c r="M127" t="str">
        <f t="array" aca="1" ref="M127" ca="1">IFERROR(INDEX(Daten!$AE$2:$AE$741,LARGE((Daten!$A$2:$A$741=Limits!$P$18)*(ROW(Daten!$A$2:$A$741)-1),COUNTIF(Daten!$A$2:$A$741,Limits!$P$18)+1-ROW(Daten!A10))),"")</f>
        <v/>
      </c>
      <c r="N127" s="2" t="str">
        <f t="array" aca="1" ref="N127" ca="1">IFERROR(INDEX(Daten!$AO$2:$AO$741,LARGE((Daten!$A$2:$A$741=Limits!$P$18)*(ROW(Daten!$A$2:$A$741)-1),COUNTIF(Daten!$A$2:$A$741,Limits!$P$18)+1-ROW(Daten!A10))),"")</f>
        <v/>
      </c>
      <c r="O127" t="str">
        <f t="array" aca="1" ref="O127" ca="1">IFERROR(INDEX(Daten!$AP$2:$AP$741,LARGE((Daten!$A$2:$A$741=Limits!$P$18)*(ROW(Daten!$A$2:$A$741)-1),COUNTIF(Daten!$A$2:$A$741,Limits!$P$18)+1-ROW(Daten!A10))),"")</f>
        <v/>
      </c>
      <c r="P127" t="str">
        <f t="array" aca="1" ref="P127" ca="1">IFERROR(INDEX(Daten!$AS$2:$AS$741,LARGE((Daten!$A$2:$A$741=Limits!$P$18)*(ROW(Daten!$A$2:$A$741)-1),COUNTIF(Daten!$A$2:$A$741,Limits!$P$18)+1-ROW(Daten!A10))),"")</f>
        <v/>
      </c>
      <c r="Q127" t="str">
        <f t="array" aca="1" ref="Q127" ca="1">IFERROR(INDEX(Daten!$AT$2:$AT$741,LARGE((Daten!$A$2:$A$741=Limits!$P$18)*(ROW(Daten!$A$2:$A$741)-1),COUNTIF(Daten!$A$2:$A$741,Limits!$P$18)+1-ROW(Daten!A10))),"")</f>
        <v/>
      </c>
      <c r="R127" s="73" t="str">
        <f t="shared" ca="1" si="1"/>
        <v/>
      </c>
      <c r="S127" s="73" t="str">
        <f t="shared" ca="1" si="2"/>
        <v/>
      </c>
    </row>
    <row r="128" spans="1:19" x14ac:dyDescent="0.25">
      <c r="A128" s="73" t="str">
        <f t="shared" ca="1" si="3"/>
        <v/>
      </c>
      <c r="B128" t="str">
        <f t="array" aca="1" ref="B128" ca="1">IFERROR(INDEX(Daten!$U$2:$U$741,LARGE((Daten!$A$2:$A$741=Limits!$P$18)*(ROW(Daten!$A$2:$A$741)-1),COUNTIF(Daten!$A$2:$A$741,Limits!$P$18)+1-ROW(Daten!A11))),"")</f>
        <v/>
      </c>
      <c r="D128" t="str">
        <f t="array" aca="1" ref="D128" ca="1">IFERROR(INDEX(Daten!$AL$2:$AL$741,LARGE((Daten!$A$2:$A$741=Limits!$P$18)*(ROW(Daten!$A$2:$A$741)-1),COUNTIF(Daten!$A$2:$A$741,Limits!$P$18)+1-ROW(Daten!A11))),"")</f>
        <v/>
      </c>
      <c r="E128" t="str">
        <f t="array" aca="1" ref="E128" ca="1">IFERROR(INDEX(Daten!$AK$2:$AK$741,LARGE((Daten!$A$2:$A$741=Limits!$P$18)*(ROW(Daten!$A$2:$A$741)-1),COUNTIF(Daten!$A$2:$A$741,Limits!$P$18)+1-ROW(Daten!A11))),"")</f>
        <v/>
      </c>
      <c r="F128" t="str">
        <f t="array" aca="1" ref="F128" ca="1">IFERROR(INDEX(Daten!$AM$2:$AM$741,LARGE((Daten!$A$2:$A$741=Limits!$P$18)*(ROW(Daten!$A$2:$A$741)-1),COUNTIF(Daten!$A$2:$A$741,Limits!$P$18)+1-ROW(Daten!A11))),"")</f>
        <v/>
      </c>
      <c r="H128" t="str">
        <f t="array" aca="1" ref="H128" ca="1">IFERROR(INDEX(Daten!$AN$2:$AN$741,LARGE((Daten!$A$2:$A$741=Limits!$P$18)*(ROW(Daten!$A$2:$A$741)-1),COUNTIF(Daten!$A$2:$A$741,Limits!$P$18)+1-ROW(Daten!A11))),"")</f>
        <v/>
      </c>
      <c r="J128" t="str">
        <f t="array" aca="1" ref="J128" ca="1">IFERROR(INDEX(Daten!$AA$2:$AA$741,LARGE((Daten!$A$2:$A$741=Limits!$P$18)*(ROW(Daten!$A$2:$A$741)-1),COUNTIF(Daten!$A$2:$A$741,Limits!$P$18)+1-ROW(Daten!A11))),"")</f>
        <v/>
      </c>
      <c r="K128" t="str">
        <f t="array" aca="1" ref="K128" ca="1">IFERROR(INDEX(Daten!$AB$2:$AB$741,LARGE((Daten!$A$2:$A$741=Limits!$P$18)*(ROW(Daten!$A$2:$A$741)-1),COUNTIF(Daten!$A$2:$A$741,Limits!$P$18)+1-ROW(Daten!A11))),"")</f>
        <v/>
      </c>
      <c r="L128" s="2" t="str">
        <f t="array" aca="1" ref="L128" ca="1">IFERROR(INDEX(Daten!$AD$2:$AD$741,LARGE((Daten!$A$2:$A$741=Limits!$P$18)*(ROW(Daten!$A$2:$A$741)-1),COUNTIF(Daten!$A$2:$A$741,Limits!$P$18)+1-ROW(Daten!A11))),"")</f>
        <v/>
      </c>
      <c r="M128" t="str">
        <f t="array" aca="1" ref="M128" ca="1">IFERROR(INDEX(Daten!$AE$2:$AE$741,LARGE((Daten!$A$2:$A$741=Limits!$P$18)*(ROW(Daten!$A$2:$A$741)-1),COUNTIF(Daten!$A$2:$A$741,Limits!$P$18)+1-ROW(Daten!A11))),"")</f>
        <v/>
      </c>
      <c r="N128" s="2" t="str">
        <f t="array" aca="1" ref="N128" ca="1">IFERROR(INDEX(Daten!$AO$2:$AO$741,LARGE((Daten!$A$2:$A$741=Limits!$P$18)*(ROW(Daten!$A$2:$A$741)-1),COUNTIF(Daten!$A$2:$A$741,Limits!$P$18)+1-ROW(Daten!A11))),"")</f>
        <v/>
      </c>
      <c r="O128" t="str">
        <f t="array" aca="1" ref="O128" ca="1">IFERROR(INDEX(Daten!$AP$2:$AP$741,LARGE((Daten!$A$2:$A$741=Limits!$P$18)*(ROW(Daten!$A$2:$A$741)-1),COUNTIF(Daten!$A$2:$A$741,Limits!$P$18)+1-ROW(Daten!A11))),"")</f>
        <v/>
      </c>
      <c r="P128" t="str">
        <f t="array" aca="1" ref="P128" ca="1">IFERROR(INDEX(Daten!$AS$2:$AS$741,LARGE((Daten!$A$2:$A$741=Limits!$P$18)*(ROW(Daten!$A$2:$A$741)-1),COUNTIF(Daten!$A$2:$A$741,Limits!$P$18)+1-ROW(Daten!A11))),"")</f>
        <v/>
      </c>
      <c r="Q128" t="str">
        <f t="array" aca="1" ref="Q128" ca="1">IFERROR(INDEX(Daten!$AT$2:$AT$741,LARGE((Daten!$A$2:$A$741=Limits!$P$18)*(ROW(Daten!$A$2:$A$741)-1),COUNTIF(Daten!$A$2:$A$741,Limits!$P$18)+1-ROW(Daten!A11))),"")</f>
        <v/>
      </c>
      <c r="R128" s="73" t="str">
        <f t="shared" ca="1" si="1"/>
        <v/>
      </c>
      <c r="S128" s="73" t="str">
        <f t="shared" ca="1" si="2"/>
        <v/>
      </c>
    </row>
    <row r="129" spans="1:19" x14ac:dyDescent="0.25">
      <c r="A129" s="73" t="str">
        <f t="shared" ca="1" si="3"/>
        <v/>
      </c>
      <c r="B129" t="str">
        <f t="array" aca="1" ref="B129" ca="1">IFERROR(INDEX(Daten!$U$2:$U$741,LARGE((Daten!$A$2:$A$741=Limits!$P$18)*(ROW(Daten!$A$2:$A$741)-1),COUNTIF(Daten!$A$2:$A$741,Limits!$P$18)+1-ROW(Daten!A12))),"")</f>
        <v/>
      </c>
      <c r="D129" t="str">
        <f t="array" aca="1" ref="D129" ca="1">IFERROR(INDEX(Daten!$AL$2:$AL$741,LARGE((Daten!$A$2:$A$741=Limits!$P$18)*(ROW(Daten!$A$2:$A$741)-1),COUNTIF(Daten!$A$2:$A$741,Limits!$P$18)+1-ROW(Daten!A12))),"")</f>
        <v/>
      </c>
      <c r="E129" t="str">
        <f t="array" aca="1" ref="E129" ca="1">IFERROR(INDEX(Daten!$AK$2:$AK$741,LARGE((Daten!$A$2:$A$741=Limits!$P$18)*(ROW(Daten!$A$2:$A$741)-1),COUNTIF(Daten!$A$2:$A$741,Limits!$P$18)+1-ROW(Daten!A12))),"")</f>
        <v/>
      </c>
      <c r="F129" t="str">
        <f t="array" aca="1" ref="F129" ca="1">IFERROR(INDEX(Daten!$AM$2:$AM$741,LARGE((Daten!$A$2:$A$741=Limits!$P$18)*(ROW(Daten!$A$2:$A$741)-1),COUNTIF(Daten!$A$2:$A$741,Limits!$P$18)+1-ROW(Daten!A12))),"")</f>
        <v/>
      </c>
      <c r="H129" t="str">
        <f t="array" aca="1" ref="H129" ca="1">IFERROR(INDEX(Daten!$AN$2:$AN$741,LARGE((Daten!$A$2:$A$741=Limits!$P$18)*(ROW(Daten!$A$2:$A$741)-1),COUNTIF(Daten!$A$2:$A$741,Limits!$P$18)+1-ROW(Daten!A12))),"")</f>
        <v/>
      </c>
      <c r="J129" t="str">
        <f t="array" aca="1" ref="J129" ca="1">IFERROR(INDEX(Daten!$AA$2:$AA$741,LARGE((Daten!$A$2:$A$741=Limits!$P$18)*(ROW(Daten!$A$2:$A$741)-1),COUNTIF(Daten!$A$2:$A$741,Limits!$P$18)+1-ROW(Daten!A12))),"")</f>
        <v/>
      </c>
      <c r="K129" t="str">
        <f t="array" aca="1" ref="K129" ca="1">IFERROR(INDEX(Daten!$AB$2:$AB$741,LARGE((Daten!$A$2:$A$741=Limits!$P$18)*(ROW(Daten!$A$2:$A$741)-1),COUNTIF(Daten!$A$2:$A$741,Limits!$P$18)+1-ROW(Daten!A12))),"")</f>
        <v/>
      </c>
      <c r="L129" s="2" t="str">
        <f t="array" aca="1" ref="L129" ca="1">IFERROR(INDEX(Daten!$AD$2:$AD$741,LARGE((Daten!$A$2:$A$741=Limits!$P$18)*(ROW(Daten!$A$2:$A$741)-1),COUNTIF(Daten!$A$2:$A$741,Limits!$P$18)+1-ROW(Daten!A12))),"")</f>
        <v/>
      </c>
      <c r="M129" t="str">
        <f t="array" aca="1" ref="M129" ca="1">IFERROR(INDEX(Daten!$AE$2:$AE$741,LARGE((Daten!$A$2:$A$741=Limits!$P$18)*(ROW(Daten!$A$2:$A$741)-1),COUNTIF(Daten!$A$2:$A$741,Limits!$P$18)+1-ROW(Daten!A12))),"")</f>
        <v/>
      </c>
      <c r="N129" s="2" t="str">
        <f t="array" aca="1" ref="N129" ca="1">IFERROR(INDEX(Daten!$AO$2:$AO$741,LARGE((Daten!$A$2:$A$741=Limits!$P$18)*(ROW(Daten!$A$2:$A$741)-1),COUNTIF(Daten!$A$2:$A$741,Limits!$P$18)+1-ROW(Daten!A12))),"")</f>
        <v/>
      </c>
      <c r="O129" t="str">
        <f t="array" aca="1" ref="O129" ca="1">IFERROR(INDEX(Daten!$AP$2:$AP$741,LARGE((Daten!$A$2:$A$741=Limits!$P$18)*(ROW(Daten!$A$2:$A$741)-1),COUNTIF(Daten!$A$2:$A$741,Limits!$P$18)+1-ROW(Daten!A12))),"")</f>
        <v/>
      </c>
      <c r="P129" t="str">
        <f t="array" aca="1" ref="P129" ca="1">IFERROR(INDEX(Daten!$AS$2:$AS$741,LARGE((Daten!$A$2:$A$741=Limits!$P$18)*(ROW(Daten!$A$2:$A$741)-1),COUNTIF(Daten!$A$2:$A$741,Limits!$P$18)+1-ROW(Daten!A12))),"")</f>
        <v/>
      </c>
      <c r="Q129" t="str">
        <f t="array" aca="1" ref="Q129" ca="1">IFERROR(INDEX(Daten!$AT$2:$AT$741,LARGE((Daten!$A$2:$A$741=Limits!$P$18)*(ROW(Daten!$A$2:$A$741)-1),COUNTIF(Daten!$A$2:$A$741,Limits!$P$18)+1-ROW(Daten!A12))),"")</f>
        <v/>
      </c>
      <c r="R129" s="73" t="str">
        <f t="shared" ca="1" si="1"/>
        <v/>
      </c>
      <c r="S129" s="73" t="str">
        <f t="shared" ca="1" si="2"/>
        <v/>
      </c>
    </row>
    <row r="130" spans="1:19" x14ac:dyDescent="0.25">
      <c r="A130" s="73" t="str">
        <f t="shared" ca="1" si="3"/>
        <v/>
      </c>
      <c r="B130" t="str">
        <f t="array" aca="1" ref="B130" ca="1">IFERROR(INDEX(Daten!$U$2:$U$741,LARGE((Daten!$A$2:$A$741=Limits!$P$18)*(ROW(Daten!$A$2:$A$741)-1),COUNTIF(Daten!$A$2:$A$741,Limits!$P$18)+1-ROW(Daten!A13))),"")</f>
        <v/>
      </c>
      <c r="D130" t="str">
        <f t="array" aca="1" ref="D130" ca="1">IFERROR(INDEX(Daten!$AL$2:$AL$741,LARGE((Daten!$A$2:$A$741=Limits!$P$18)*(ROW(Daten!$A$2:$A$741)-1),COUNTIF(Daten!$A$2:$A$741,Limits!$P$18)+1-ROW(Daten!A13))),"")</f>
        <v/>
      </c>
      <c r="E130" t="str">
        <f t="array" aca="1" ref="E130" ca="1">IFERROR(INDEX(Daten!$AK$2:$AK$741,LARGE((Daten!$A$2:$A$741=Limits!$P$18)*(ROW(Daten!$A$2:$A$741)-1),COUNTIF(Daten!$A$2:$A$741,Limits!$P$18)+1-ROW(Daten!A13))),"")</f>
        <v/>
      </c>
      <c r="F130" t="str">
        <f t="array" aca="1" ref="F130" ca="1">IFERROR(INDEX(Daten!$AM$2:$AM$741,LARGE((Daten!$A$2:$A$741=Limits!$P$18)*(ROW(Daten!$A$2:$A$741)-1),COUNTIF(Daten!$A$2:$A$741,Limits!$P$18)+1-ROW(Daten!A13))),"")</f>
        <v/>
      </c>
      <c r="H130" t="str">
        <f t="array" aca="1" ref="H130" ca="1">IFERROR(INDEX(Daten!$AN$2:$AN$741,LARGE((Daten!$A$2:$A$741=Limits!$P$18)*(ROW(Daten!$A$2:$A$741)-1),COUNTIF(Daten!$A$2:$A$741,Limits!$P$18)+1-ROW(Daten!A13))),"")</f>
        <v/>
      </c>
      <c r="J130" t="str">
        <f t="array" aca="1" ref="J130" ca="1">IFERROR(INDEX(Daten!$AA$2:$AA$741,LARGE((Daten!$A$2:$A$741=Limits!$P$18)*(ROW(Daten!$A$2:$A$741)-1),COUNTIF(Daten!$A$2:$A$741,Limits!$P$18)+1-ROW(Daten!A13))),"")</f>
        <v/>
      </c>
      <c r="K130" t="str">
        <f t="array" aca="1" ref="K130" ca="1">IFERROR(INDEX(Daten!$AB$2:$AB$741,LARGE((Daten!$A$2:$A$741=Limits!$P$18)*(ROW(Daten!$A$2:$A$741)-1),COUNTIF(Daten!$A$2:$A$741,Limits!$P$18)+1-ROW(Daten!A13))),"")</f>
        <v/>
      </c>
      <c r="L130" s="2" t="str">
        <f t="array" aca="1" ref="L130" ca="1">IFERROR(INDEX(Daten!$AD$2:$AD$741,LARGE((Daten!$A$2:$A$741=Limits!$P$18)*(ROW(Daten!$A$2:$A$741)-1),COUNTIF(Daten!$A$2:$A$741,Limits!$P$18)+1-ROW(Daten!A13))),"")</f>
        <v/>
      </c>
      <c r="M130" t="str">
        <f t="array" aca="1" ref="M130" ca="1">IFERROR(INDEX(Daten!$AE$2:$AE$741,LARGE((Daten!$A$2:$A$741=Limits!$P$18)*(ROW(Daten!$A$2:$A$741)-1),COUNTIF(Daten!$A$2:$A$741,Limits!$P$18)+1-ROW(Daten!A13))),"")</f>
        <v/>
      </c>
      <c r="N130" s="2" t="str">
        <f t="array" aca="1" ref="N130" ca="1">IFERROR(INDEX(Daten!$AO$2:$AO$741,LARGE((Daten!$A$2:$A$741=Limits!$P$18)*(ROW(Daten!$A$2:$A$741)-1),COUNTIF(Daten!$A$2:$A$741,Limits!$P$18)+1-ROW(Daten!A13))),"")</f>
        <v/>
      </c>
      <c r="O130" t="str">
        <f t="array" aca="1" ref="O130" ca="1">IFERROR(INDEX(Daten!$AP$2:$AP$741,LARGE((Daten!$A$2:$A$741=Limits!$P$18)*(ROW(Daten!$A$2:$A$741)-1),COUNTIF(Daten!$A$2:$A$741,Limits!$P$18)+1-ROW(Daten!A13))),"")</f>
        <v/>
      </c>
      <c r="P130" t="str">
        <f t="array" aca="1" ref="P130" ca="1">IFERROR(INDEX(Daten!$AS$2:$AS$741,LARGE((Daten!$A$2:$A$741=Limits!$P$18)*(ROW(Daten!$A$2:$A$741)-1),COUNTIF(Daten!$A$2:$A$741,Limits!$P$18)+1-ROW(Daten!A13))),"")</f>
        <v/>
      </c>
      <c r="Q130" t="str">
        <f t="array" aca="1" ref="Q130" ca="1">IFERROR(INDEX(Daten!$AT$2:$AT$741,LARGE((Daten!$A$2:$A$741=Limits!$P$18)*(ROW(Daten!$A$2:$A$741)-1),COUNTIF(Daten!$A$2:$A$741,Limits!$P$18)+1-ROW(Daten!A13))),"")</f>
        <v/>
      </c>
      <c r="R130" s="73" t="str">
        <f t="shared" ca="1" si="1"/>
        <v/>
      </c>
      <c r="S130" s="73" t="str">
        <f t="shared" ca="1" si="2"/>
        <v/>
      </c>
    </row>
    <row r="131" spans="1:19" x14ac:dyDescent="0.25">
      <c r="A131" s="73" t="str">
        <f t="shared" ca="1" si="3"/>
        <v/>
      </c>
      <c r="B131" t="str">
        <f t="array" aca="1" ref="B131" ca="1">IFERROR(INDEX(Daten!$U$2:$U$741,LARGE((Daten!$A$2:$A$741=Limits!$P$18)*(ROW(Daten!$A$2:$A$741)-1),COUNTIF(Daten!$A$2:$A$741,Limits!$P$18)+1-ROW(Daten!A14))),"")</f>
        <v/>
      </c>
      <c r="D131" t="str">
        <f t="array" aca="1" ref="D131" ca="1">IFERROR(INDEX(Daten!$AL$2:$AL$741,LARGE((Daten!$A$2:$A$741=Limits!$P$18)*(ROW(Daten!$A$2:$A$741)-1),COUNTIF(Daten!$A$2:$A$741,Limits!$P$18)+1-ROW(Daten!A14))),"")</f>
        <v/>
      </c>
      <c r="E131" t="str">
        <f t="array" aca="1" ref="E131" ca="1">IFERROR(INDEX(Daten!$AK$2:$AK$741,LARGE((Daten!$A$2:$A$741=Limits!$P$18)*(ROW(Daten!$A$2:$A$741)-1),COUNTIF(Daten!$A$2:$A$741,Limits!$P$18)+1-ROW(Daten!A14))),"")</f>
        <v/>
      </c>
      <c r="F131" t="str">
        <f t="array" aca="1" ref="F131" ca="1">IFERROR(INDEX(Daten!$AM$2:$AM$741,LARGE((Daten!$A$2:$A$741=Limits!$P$18)*(ROW(Daten!$A$2:$A$741)-1),COUNTIF(Daten!$A$2:$A$741,Limits!$P$18)+1-ROW(Daten!A14))),"")</f>
        <v/>
      </c>
      <c r="H131" t="str">
        <f t="array" aca="1" ref="H131" ca="1">IFERROR(INDEX(Daten!$AN$2:$AN$741,LARGE((Daten!$A$2:$A$741=Limits!$P$18)*(ROW(Daten!$A$2:$A$741)-1),COUNTIF(Daten!$A$2:$A$741,Limits!$P$18)+1-ROW(Daten!A14))),"")</f>
        <v/>
      </c>
      <c r="J131" t="str">
        <f t="array" aca="1" ref="J131" ca="1">IFERROR(INDEX(Daten!$AA$2:$AA$741,LARGE((Daten!$A$2:$A$741=Limits!$P$18)*(ROW(Daten!$A$2:$A$741)-1),COUNTIF(Daten!$A$2:$A$741,Limits!$P$18)+1-ROW(Daten!A14))),"")</f>
        <v/>
      </c>
      <c r="K131" t="str">
        <f t="array" aca="1" ref="K131" ca="1">IFERROR(INDEX(Daten!$AB$2:$AB$741,LARGE((Daten!$A$2:$A$741=Limits!$P$18)*(ROW(Daten!$A$2:$A$741)-1),COUNTIF(Daten!$A$2:$A$741,Limits!$P$18)+1-ROW(Daten!A14))),"")</f>
        <v/>
      </c>
      <c r="L131" s="2" t="str">
        <f t="array" aca="1" ref="L131" ca="1">IFERROR(INDEX(Daten!$AD$2:$AD$741,LARGE((Daten!$A$2:$A$741=Limits!$P$18)*(ROW(Daten!$A$2:$A$741)-1),COUNTIF(Daten!$A$2:$A$741,Limits!$P$18)+1-ROW(Daten!A14))),"")</f>
        <v/>
      </c>
      <c r="M131" t="str">
        <f t="array" aca="1" ref="M131" ca="1">IFERROR(INDEX(Daten!$AE$2:$AE$741,LARGE((Daten!$A$2:$A$741=Limits!$P$18)*(ROW(Daten!$A$2:$A$741)-1),COUNTIF(Daten!$A$2:$A$741,Limits!$P$18)+1-ROW(Daten!A14))),"")</f>
        <v/>
      </c>
      <c r="N131" s="2" t="str">
        <f t="array" aca="1" ref="N131" ca="1">IFERROR(INDEX(Daten!$AO$2:$AO$741,LARGE((Daten!$A$2:$A$741=Limits!$P$18)*(ROW(Daten!$A$2:$A$741)-1),COUNTIF(Daten!$A$2:$A$741,Limits!$P$18)+1-ROW(Daten!A14))),"")</f>
        <v/>
      </c>
      <c r="O131" t="str">
        <f t="array" aca="1" ref="O131" ca="1">IFERROR(INDEX(Daten!$AP$2:$AP$741,LARGE((Daten!$A$2:$A$741=Limits!$P$18)*(ROW(Daten!$A$2:$A$741)-1),COUNTIF(Daten!$A$2:$A$741,Limits!$P$18)+1-ROW(Daten!A14))),"")</f>
        <v/>
      </c>
      <c r="P131" t="str">
        <f t="array" aca="1" ref="P131" ca="1">IFERROR(INDEX(Daten!$AS$2:$AS$741,LARGE((Daten!$A$2:$A$741=Limits!$P$18)*(ROW(Daten!$A$2:$A$741)-1),COUNTIF(Daten!$A$2:$A$741,Limits!$P$18)+1-ROW(Daten!A14))),"")</f>
        <v/>
      </c>
      <c r="Q131" t="str">
        <f t="array" aca="1" ref="Q131" ca="1">IFERROR(INDEX(Daten!$AT$2:$AT$741,LARGE((Daten!$A$2:$A$741=Limits!$P$18)*(ROW(Daten!$A$2:$A$741)-1),COUNTIF(Daten!$A$2:$A$741,Limits!$P$18)+1-ROW(Daten!A14))),"")</f>
        <v/>
      </c>
      <c r="R131" s="73" t="str">
        <f t="shared" ca="1" si="1"/>
        <v/>
      </c>
      <c r="S131" s="73" t="str">
        <f t="shared" ca="1" si="2"/>
        <v/>
      </c>
    </row>
    <row r="132" spans="1:19" x14ac:dyDescent="0.25">
      <c r="A132" s="73" t="str">
        <f t="shared" ca="1" si="3"/>
        <v/>
      </c>
      <c r="B132" t="str">
        <f t="array" aca="1" ref="B132" ca="1">IFERROR(INDEX(Daten!$U$2:$U$741,LARGE((Daten!$A$2:$A$741=Limits!$P$18)*(ROW(Daten!$A$2:$A$741)-1),COUNTIF(Daten!$A$2:$A$741,Limits!$P$18)+1-ROW(Daten!A15))),"")</f>
        <v/>
      </c>
      <c r="D132" t="str">
        <f t="array" aca="1" ref="D132" ca="1">IFERROR(INDEX(Daten!$AL$2:$AL$741,LARGE((Daten!$A$2:$A$741=Limits!$P$18)*(ROW(Daten!$A$2:$A$741)-1),COUNTIF(Daten!$A$2:$A$741,Limits!$P$18)+1-ROW(Daten!A15))),"")</f>
        <v/>
      </c>
      <c r="E132" t="str">
        <f t="array" aca="1" ref="E132" ca="1">IFERROR(INDEX(Daten!$AK$2:$AK$741,LARGE((Daten!$A$2:$A$741=Limits!$P$18)*(ROW(Daten!$A$2:$A$741)-1),COUNTIF(Daten!$A$2:$A$741,Limits!$P$18)+1-ROW(Daten!A15))),"")</f>
        <v/>
      </c>
      <c r="F132" t="str">
        <f t="array" aca="1" ref="F132" ca="1">IFERROR(INDEX(Daten!$AM$2:$AM$741,LARGE((Daten!$A$2:$A$741=Limits!$P$18)*(ROW(Daten!$A$2:$A$741)-1),COUNTIF(Daten!$A$2:$A$741,Limits!$P$18)+1-ROW(Daten!A15))),"")</f>
        <v/>
      </c>
      <c r="H132" t="str">
        <f t="array" aca="1" ref="H132" ca="1">IFERROR(INDEX(Daten!$AN$2:$AN$741,LARGE((Daten!$A$2:$A$741=Limits!$P$18)*(ROW(Daten!$A$2:$A$741)-1),COUNTIF(Daten!$A$2:$A$741,Limits!$P$18)+1-ROW(Daten!A15))),"")</f>
        <v/>
      </c>
      <c r="J132" t="str">
        <f t="array" aca="1" ref="J132" ca="1">IFERROR(INDEX(Daten!$AA$2:$AA$741,LARGE((Daten!$A$2:$A$741=Limits!$P$18)*(ROW(Daten!$A$2:$A$741)-1),COUNTIF(Daten!$A$2:$A$741,Limits!$P$18)+1-ROW(Daten!A15))),"")</f>
        <v/>
      </c>
      <c r="K132" t="str">
        <f t="array" aca="1" ref="K132" ca="1">IFERROR(INDEX(Daten!$AB$2:$AB$741,LARGE((Daten!$A$2:$A$741=Limits!$P$18)*(ROW(Daten!$A$2:$A$741)-1),COUNTIF(Daten!$A$2:$A$741,Limits!$P$18)+1-ROW(Daten!A15))),"")</f>
        <v/>
      </c>
      <c r="L132" s="2" t="str">
        <f t="array" aca="1" ref="L132" ca="1">IFERROR(INDEX(Daten!$AD$2:$AD$741,LARGE((Daten!$A$2:$A$741=Limits!$P$18)*(ROW(Daten!$A$2:$A$741)-1),COUNTIF(Daten!$A$2:$A$741,Limits!$P$18)+1-ROW(Daten!A15))),"")</f>
        <v/>
      </c>
      <c r="M132" t="str">
        <f t="array" aca="1" ref="M132" ca="1">IFERROR(INDEX(Daten!$AE$2:$AE$741,LARGE((Daten!$A$2:$A$741=Limits!$P$18)*(ROW(Daten!$A$2:$A$741)-1),COUNTIF(Daten!$A$2:$A$741,Limits!$P$18)+1-ROW(Daten!A15))),"")</f>
        <v/>
      </c>
      <c r="N132" s="2" t="str">
        <f t="array" aca="1" ref="N132" ca="1">IFERROR(INDEX(Daten!$AO$2:$AO$741,LARGE((Daten!$A$2:$A$741=Limits!$P$18)*(ROW(Daten!$A$2:$A$741)-1),COUNTIF(Daten!$A$2:$A$741,Limits!$P$18)+1-ROW(Daten!A15))),"")</f>
        <v/>
      </c>
      <c r="O132" t="str">
        <f t="array" aca="1" ref="O132" ca="1">IFERROR(INDEX(Daten!$AP$2:$AP$741,LARGE((Daten!$A$2:$A$741=Limits!$P$18)*(ROW(Daten!$A$2:$A$741)-1),COUNTIF(Daten!$A$2:$A$741,Limits!$P$18)+1-ROW(Daten!A15))),"")</f>
        <v/>
      </c>
      <c r="P132" t="str">
        <f t="array" aca="1" ref="P132" ca="1">IFERROR(INDEX(Daten!$AS$2:$AS$741,LARGE((Daten!$A$2:$A$741=Limits!$P$18)*(ROW(Daten!$A$2:$A$741)-1),COUNTIF(Daten!$A$2:$A$741,Limits!$P$18)+1-ROW(Daten!A15))),"")</f>
        <v/>
      </c>
      <c r="Q132" t="str">
        <f t="array" aca="1" ref="Q132" ca="1">IFERROR(INDEX(Daten!$AT$2:$AT$741,LARGE((Daten!$A$2:$A$741=Limits!$P$18)*(ROW(Daten!$A$2:$A$741)-1),COUNTIF(Daten!$A$2:$A$741,Limits!$P$18)+1-ROW(Daten!A15))),"")</f>
        <v/>
      </c>
      <c r="R132" s="73" t="str">
        <f t="shared" ca="1" si="1"/>
        <v/>
      </c>
      <c r="S132" s="73" t="str">
        <f t="shared" ca="1" si="2"/>
        <v/>
      </c>
    </row>
    <row r="133" spans="1:19" x14ac:dyDescent="0.25">
      <c r="A133" s="73" t="str">
        <f t="shared" ca="1" si="3"/>
        <v/>
      </c>
      <c r="B133" t="str">
        <f t="array" aca="1" ref="B133" ca="1">IFERROR(INDEX(Daten!$U$2:$U$741,LARGE((Daten!$A$2:$A$741=Limits!$P$18)*(ROW(Daten!$A$2:$A$741)-1),COUNTIF(Daten!$A$2:$A$741,Limits!$P$18)+1-ROW(Daten!A16))),"")</f>
        <v/>
      </c>
      <c r="D133" t="str">
        <f t="array" aca="1" ref="D133" ca="1">IFERROR(INDEX(Daten!$AL$2:$AL$741,LARGE((Daten!$A$2:$A$741=Limits!$P$18)*(ROW(Daten!$A$2:$A$741)-1),COUNTIF(Daten!$A$2:$A$741,Limits!$P$18)+1-ROW(Daten!A16))),"")</f>
        <v/>
      </c>
      <c r="E133" t="str">
        <f t="array" aca="1" ref="E133" ca="1">IFERROR(INDEX(Daten!$AK$2:$AK$741,LARGE((Daten!$A$2:$A$741=Limits!$P$18)*(ROW(Daten!$A$2:$A$741)-1),COUNTIF(Daten!$A$2:$A$741,Limits!$P$18)+1-ROW(Daten!A16))),"")</f>
        <v/>
      </c>
      <c r="F133" t="str">
        <f t="array" aca="1" ref="F133" ca="1">IFERROR(INDEX(Daten!$AM$2:$AM$741,LARGE((Daten!$A$2:$A$741=Limits!$P$18)*(ROW(Daten!$A$2:$A$741)-1),COUNTIF(Daten!$A$2:$A$741,Limits!$P$18)+1-ROW(Daten!A16))),"")</f>
        <v/>
      </c>
      <c r="H133" t="str">
        <f t="array" aca="1" ref="H133" ca="1">IFERROR(INDEX(Daten!$AN$2:$AN$741,LARGE((Daten!$A$2:$A$741=Limits!$P$18)*(ROW(Daten!$A$2:$A$741)-1),COUNTIF(Daten!$A$2:$A$741,Limits!$P$18)+1-ROW(Daten!A16))),"")</f>
        <v/>
      </c>
      <c r="J133" t="str">
        <f t="array" aca="1" ref="J133" ca="1">IFERROR(INDEX(Daten!$AA$2:$AA$741,LARGE((Daten!$A$2:$A$741=Limits!$P$18)*(ROW(Daten!$A$2:$A$741)-1),COUNTIF(Daten!$A$2:$A$741,Limits!$P$18)+1-ROW(Daten!A16))),"")</f>
        <v/>
      </c>
      <c r="K133" t="str">
        <f t="array" aca="1" ref="K133" ca="1">IFERROR(INDEX(Daten!$AB$2:$AB$741,LARGE((Daten!$A$2:$A$741=Limits!$P$18)*(ROW(Daten!$A$2:$A$741)-1),COUNTIF(Daten!$A$2:$A$741,Limits!$P$18)+1-ROW(Daten!A16))),"")</f>
        <v/>
      </c>
      <c r="L133" s="2" t="str">
        <f t="array" aca="1" ref="L133" ca="1">IFERROR(INDEX(Daten!$AD$2:$AD$741,LARGE((Daten!$A$2:$A$741=Limits!$P$18)*(ROW(Daten!$A$2:$A$741)-1),COUNTIF(Daten!$A$2:$A$741,Limits!$P$18)+1-ROW(Daten!A16))),"")</f>
        <v/>
      </c>
      <c r="M133" t="str">
        <f t="array" aca="1" ref="M133" ca="1">IFERROR(INDEX(Daten!$AE$2:$AE$741,LARGE((Daten!$A$2:$A$741=Limits!$P$18)*(ROW(Daten!$A$2:$A$741)-1),COUNTIF(Daten!$A$2:$A$741,Limits!$P$18)+1-ROW(Daten!A16))),"")</f>
        <v/>
      </c>
      <c r="N133" s="2" t="str">
        <f t="array" aca="1" ref="N133" ca="1">IFERROR(INDEX(Daten!$AO$2:$AO$741,LARGE((Daten!$A$2:$A$741=Limits!$P$18)*(ROW(Daten!$A$2:$A$741)-1),COUNTIF(Daten!$A$2:$A$741,Limits!$P$18)+1-ROW(Daten!A16))),"")</f>
        <v/>
      </c>
      <c r="O133" t="str">
        <f t="array" aca="1" ref="O133" ca="1">IFERROR(INDEX(Daten!$AP$2:$AP$741,LARGE((Daten!$A$2:$A$741=Limits!$P$18)*(ROW(Daten!$A$2:$A$741)-1),COUNTIF(Daten!$A$2:$A$741,Limits!$P$18)+1-ROW(Daten!A16))),"")</f>
        <v/>
      </c>
      <c r="P133" t="str">
        <f t="array" aca="1" ref="P133" ca="1">IFERROR(INDEX(Daten!$AS$2:$AS$741,LARGE((Daten!$A$2:$A$741=Limits!$P$18)*(ROW(Daten!$A$2:$A$741)-1),COUNTIF(Daten!$A$2:$A$741,Limits!$P$18)+1-ROW(Daten!A16))),"")</f>
        <v/>
      </c>
      <c r="Q133" t="str">
        <f t="array" aca="1" ref="Q133" ca="1">IFERROR(INDEX(Daten!$AT$2:$AT$741,LARGE((Daten!$A$2:$A$741=Limits!$P$18)*(ROW(Daten!$A$2:$A$741)-1),COUNTIF(Daten!$A$2:$A$741,Limits!$P$18)+1-ROW(Daten!A16))),"")</f>
        <v/>
      </c>
      <c r="R133" s="73" t="str">
        <f t="shared" ca="1" si="1"/>
        <v/>
      </c>
      <c r="S133" s="73" t="str">
        <f t="shared" ca="1" si="2"/>
        <v/>
      </c>
    </row>
    <row r="134" spans="1:19" x14ac:dyDescent="0.25">
      <c r="A134" s="73" t="str">
        <f t="shared" ca="1" si="3"/>
        <v/>
      </c>
      <c r="B134" t="str">
        <f t="array" aca="1" ref="B134" ca="1">IFERROR(INDEX(Daten!$U$2:$U$741,LARGE((Daten!$A$2:$A$741=Limits!$P$18)*(ROW(Daten!$A$2:$A$741)-1),COUNTIF(Daten!$A$2:$A$741,Limits!$P$18)+1-ROW(Daten!A17))),"")</f>
        <v/>
      </c>
      <c r="D134" t="str">
        <f t="array" aca="1" ref="D134" ca="1">IFERROR(INDEX(Daten!$AL$2:$AL$741,LARGE((Daten!$A$2:$A$741=Limits!$P$18)*(ROW(Daten!$A$2:$A$741)-1),COUNTIF(Daten!$A$2:$A$741,Limits!$P$18)+1-ROW(Daten!A17))),"")</f>
        <v/>
      </c>
      <c r="E134" t="str">
        <f t="array" aca="1" ref="E134" ca="1">IFERROR(INDEX(Daten!$AK$2:$AK$741,LARGE((Daten!$A$2:$A$741=Limits!$P$18)*(ROW(Daten!$A$2:$A$741)-1),COUNTIF(Daten!$A$2:$A$741,Limits!$P$18)+1-ROW(Daten!A17))),"")</f>
        <v/>
      </c>
      <c r="F134" t="str">
        <f t="array" aca="1" ref="F134" ca="1">IFERROR(INDEX(Daten!$AM$2:$AM$741,LARGE((Daten!$A$2:$A$741=Limits!$P$18)*(ROW(Daten!$A$2:$A$741)-1),COUNTIF(Daten!$A$2:$A$741,Limits!$P$18)+1-ROW(Daten!A17))),"")</f>
        <v/>
      </c>
      <c r="H134" t="str">
        <f t="array" aca="1" ref="H134" ca="1">IFERROR(INDEX(Daten!$AN$2:$AN$741,LARGE((Daten!$A$2:$A$741=Limits!$P$18)*(ROW(Daten!$A$2:$A$741)-1),COUNTIF(Daten!$A$2:$A$741,Limits!$P$18)+1-ROW(Daten!A17))),"")</f>
        <v/>
      </c>
      <c r="J134" t="str">
        <f t="array" aca="1" ref="J134" ca="1">IFERROR(INDEX(Daten!$AA$2:$AA$741,LARGE((Daten!$A$2:$A$741=Limits!$P$18)*(ROW(Daten!$A$2:$A$741)-1),COUNTIF(Daten!$A$2:$A$741,Limits!$P$18)+1-ROW(Daten!A17))),"")</f>
        <v/>
      </c>
      <c r="K134" t="str">
        <f t="array" aca="1" ref="K134" ca="1">IFERROR(INDEX(Daten!$AB$2:$AB$741,LARGE((Daten!$A$2:$A$741=Limits!$P$18)*(ROW(Daten!$A$2:$A$741)-1),COUNTIF(Daten!$A$2:$A$741,Limits!$P$18)+1-ROW(Daten!A17))),"")</f>
        <v/>
      </c>
      <c r="L134" s="2" t="str">
        <f t="array" aca="1" ref="L134" ca="1">IFERROR(INDEX(Daten!$AD$2:$AD$741,LARGE((Daten!$A$2:$A$741=Limits!$P$18)*(ROW(Daten!$A$2:$A$741)-1),COUNTIF(Daten!$A$2:$A$741,Limits!$P$18)+1-ROW(Daten!A17))),"")</f>
        <v/>
      </c>
      <c r="M134" t="str">
        <f t="array" aca="1" ref="M134" ca="1">IFERROR(INDEX(Daten!$AE$2:$AE$741,LARGE((Daten!$A$2:$A$741=Limits!$P$18)*(ROW(Daten!$A$2:$A$741)-1),COUNTIF(Daten!$A$2:$A$741,Limits!$P$18)+1-ROW(Daten!A17))),"")</f>
        <v/>
      </c>
      <c r="N134" s="2" t="str">
        <f t="array" aca="1" ref="N134" ca="1">IFERROR(INDEX(Daten!$AO$2:$AO$741,LARGE((Daten!$A$2:$A$741=Limits!$P$18)*(ROW(Daten!$A$2:$A$741)-1),COUNTIF(Daten!$A$2:$A$741,Limits!$P$18)+1-ROW(Daten!A17))),"")</f>
        <v/>
      </c>
      <c r="O134" t="str">
        <f t="array" aca="1" ref="O134" ca="1">IFERROR(INDEX(Daten!$AP$2:$AP$741,LARGE((Daten!$A$2:$A$741=Limits!$P$18)*(ROW(Daten!$A$2:$A$741)-1),COUNTIF(Daten!$A$2:$A$741,Limits!$P$18)+1-ROW(Daten!A17))),"")</f>
        <v/>
      </c>
      <c r="P134" t="str">
        <f t="array" aca="1" ref="P134" ca="1">IFERROR(INDEX(Daten!$AS$2:$AS$741,LARGE((Daten!$A$2:$A$741=Limits!$P$18)*(ROW(Daten!$A$2:$A$741)-1),COUNTIF(Daten!$A$2:$A$741,Limits!$P$18)+1-ROW(Daten!A17))),"")</f>
        <v/>
      </c>
      <c r="Q134" t="str">
        <f t="array" aca="1" ref="Q134" ca="1">IFERROR(INDEX(Daten!$AT$2:$AT$741,LARGE((Daten!$A$2:$A$741=Limits!$P$18)*(ROW(Daten!$A$2:$A$741)-1),COUNTIF(Daten!$A$2:$A$741,Limits!$P$18)+1-ROW(Daten!A17))),"")</f>
        <v/>
      </c>
      <c r="R134" s="73" t="str">
        <f t="shared" ca="1" si="1"/>
        <v/>
      </c>
      <c r="S134" s="73" t="str">
        <f t="shared" ca="1" si="2"/>
        <v/>
      </c>
    </row>
    <row r="135" spans="1:19" x14ac:dyDescent="0.25">
      <c r="A135" s="73" t="str">
        <f t="shared" ca="1" si="3"/>
        <v/>
      </c>
      <c r="B135" t="str">
        <f t="array" aca="1" ref="B135" ca="1">IFERROR(INDEX(Daten!$U$2:$U$741,LARGE((Daten!$A$2:$A$741=Limits!$P$18)*(ROW(Daten!$A$2:$A$741)-1),COUNTIF(Daten!$A$2:$A$741,Limits!$P$18)+1-ROW(Daten!A18))),"")</f>
        <v/>
      </c>
      <c r="D135" t="str">
        <f t="array" aca="1" ref="D135" ca="1">IFERROR(INDEX(Daten!$AL$2:$AL$741,LARGE((Daten!$A$2:$A$741=Limits!$P$18)*(ROW(Daten!$A$2:$A$741)-1),COUNTIF(Daten!$A$2:$A$741,Limits!$P$18)+1-ROW(Daten!A18))),"")</f>
        <v/>
      </c>
      <c r="E135" t="str">
        <f t="array" aca="1" ref="E135" ca="1">IFERROR(INDEX(Daten!$AK$2:$AK$741,LARGE((Daten!$A$2:$A$741=Limits!$P$18)*(ROW(Daten!$A$2:$A$741)-1),COUNTIF(Daten!$A$2:$A$741,Limits!$P$18)+1-ROW(Daten!A18))),"")</f>
        <v/>
      </c>
      <c r="F135" t="str">
        <f t="array" aca="1" ref="F135" ca="1">IFERROR(INDEX(Daten!$AM$2:$AM$741,LARGE((Daten!$A$2:$A$741=Limits!$P$18)*(ROW(Daten!$A$2:$A$741)-1),COUNTIF(Daten!$A$2:$A$741,Limits!$P$18)+1-ROW(Daten!A18))),"")</f>
        <v/>
      </c>
      <c r="H135" t="str">
        <f t="array" aca="1" ref="H135" ca="1">IFERROR(INDEX(Daten!$AN$2:$AN$741,LARGE((Daten!$A$2:$A$741=Limits!$P$18)*(ROW(Daten!$A$2:$A$741)-1),COUNTIF(Daten!$A$2:$A$741,Limits!$P$18)+1-ROW(Daten!A18))),"")</f>
        <v/>
      </c>
      <c r="J135" t="str">
        <f t="array" aca="1" ref="J135" ca="1">IFERROR(INDEX(Daten!$AA$2:$AA$741,LARGE((Daten!$A$2:$A$741=Limits!$P$18)*(ROW(Daten!$A$2:$A$741)-1),COUNTIF(Daten!$A$2:$A$741,Limits!$P$18)+1-ROW(Daten!A18))),"")</f>
        <v/>
      </c>
      <c r="K135" t="str">
        <f t="array" aca="1" ref="K135" ca="1">IFERROR(INDEX(Daten!$AB$2:$AB$741,LARGE((Daten!$A$2:$A$741=Limits!$P$18)*(ROW(Daten!$A$2:$A$741)-1),COUNTIF(Daten!$A$2:$A$741,Limits!$P$18)+1-ROW(Daten!A18))),"")</f>
        <v/>
      </c>
      <c r="L135" s="2" t="str">
        <f t="array" aca="1" ref="L135" ca="1">IFERROR(INDEX(Daten!$AD$2:$AD$741,LARGE((Daten!$A$2:$A$741=Limits!$P$18)*(ROW(Daten!$A$2:$A$741)-1),COUNTIF(Daten!$A$2:$A$741,Limits!$P$18)+1-ROW(Daten!A18))),"")</f>
        <v/>
      </c>
      <c r="M135" t="str">
        <f t="array" aca="1" ref="M135" ca="1">IFERROR(INDEX(Daten!$AE$2:$AE$741,LARGE((Daten!$A$2:$A$741=Limits!$P$18)*(ROW(Daten!$A$2:$A$741)-1),COUNTIF(Daten!$A$2:$A$741,Limits!$P$18)+1-ROW(Daten!A18))),"")</f>
        <v/>
      </c>
      <c r="N135" s="2" t="str">
        <f t="array" aca="1" ref="N135" ca="1">IFERROR(INDEX(Daten!$AO$2:$AO$741,LARGE((Daten!$A$2:$A$741=Limits!$P$18)*(ROW(Daten!$A$2:$A$741)-1),COUNTIF(Daten!$A$2:$A$741,Limits!$P$18)+1-ROW(Daten!A18))),"")</f>
        <v/>
      </c>
      <c r="O135" t="str">
        <f t="array" aca="1" ref="O135" ca="1">IFERROR(INDEX(Daten!$AP$2:$AP$741,LARGE((Daten!$A$2:$A$741=Limits!$P$18)*(ROW(Daten!$A$2:$A$741)-1),COUNTIF(Daten!$A$2:$A$741,Limits!$P$18)+1-ROW(Daten!A18))),"")</f>
        <v/>
      </c>
      <c r="P135" t="str">
        <f t="array" aca="1" ref="P135" ca="1">IFERROR(INDEX(Daten!$AS$2:$AS$741,LARGE((Daten!$A$2:$A$741=Limits!$P$18)*(ROW(Daten!$A$2:$A$741)-1),COUNTIF(Daten!$A$2:$A$741,Limits!$P$18)+1-ROW(Daten!A18))),"")</f>
        <v/>
      </c>
      <c r="Q135" t="str">
        <f t="array" aca="1" ref="Q135" ca="1">IFERROR(INDEX(Daten!$AT$2:$AT$741,LARGE((Daten!$A$2:$A$741=Limits!$P$18)*(ROW(Daten!$A$2:$A$741)-1),COUNTIF(Daten!$A$2:$A$741,Limits!$P$18)+1-ROW(Daten!A18))),"")</f>
        <v/>
      </c>
      <c r="R135" s="73" t="str">
        <f t="shared" ca="1" si="1"/>
        <v/>
      </c>
      <c r="S135" s="73" t="str">
        <f t="shared" ca="1" si="2"/>
        <v/>
      </c>
    </row>
    <row r="136" spans="1:19" x14ac:dyDescent="0.25">
      <c r="A136" s="73" t="str">
        <f t="shared" ca="1" si="3"/>
        <v/>
      </c>
      <c r="B136" t="str">
        <f t="array" aca="1" ref="B136" ca="1">IFERROR(INDEX(Daten!$U$2:$U$741,LARGE((Daten!$A$2:$A$741=Limits!$P$18)*(ROW(Daten!$A$2:$A$741)-1),COUNTIF(Daten!$A$2:$A$741,Limits!$P$18)+1-ROW(Daten!A19))),"")</f>
        <v/>
      </c>
      <c r="D136" t="str">
        <f t="array" aca="1" ref="D136" ca="1">IFERROR(INDEX(Daten!$AL$2:$AL$741,LARGE((Daten!$A$2:$A$741=Limits!$P$18)*(ROW(Daten!$A$2:$A$741)-1),COUNTIF(Daten!$A$2:$A$741,Limits!$P$18)+1-ROW(Daten!A19))),"")</f>
        <v/>
      </c>
      <c r="E136" t="str">
        <f t="array" aca="1" ref="E136" ca="1">IFERROR(INDEX(Daten!$AK$2:$AK$741,LARGE((Daten!$A$2:$A$741=Limits!$P$18)*(ROW(Daten!$A$2:$A$741)-1),COUNTIF(Daten!$A$2:$A$741,Limits!$P$18)+1-ROW(Daten!A19))),"")</f>
        <v/>
      </c>
      <c r="F136" t="str">
        <f t="array" aca="1" ref="F136" ca="1">IFERROR(INDEX(Daten!$AM$2:$AM$741,LARGE((Daten!$A$2:$A$741=Limits!$P$18)*(ROW(Daten!$A$2:$A$741)-1),COUNTIF(Daten!$A$2:$A$741,Limits!$P$18)+1-ROW(Daten!A19))),"")</f>
        <v/>
      </c>
      <c r="H136" t="str">
        <f t="array" aca="1" ref="H136" ca="1">IFERROR(INDEX(Daten!$AN$2:$AN$741,LARGE((Daten!$A$2:$A$741=Limits!$P$18)*(ROW(Daten!$A$2:$A$741)-1),COUNTIF(Daten!$A$2:$A$741,Limits!$P$18)+1-ROW(Daten!A19))),"")</f>
        <v/>
      </c>
      <c r="J136" t="str">
        <f t="array" aca="1" ref="J136" ca="1">IFERROR(INDEX(Daten!$AA$2:$AA$741,LARGE((Daten!$A$2:$A$741=Limits!$P$18)*(ROW(Daten!$A$2:$A$741)-1),COUNTIF(Daten!$A$2:$A$741,Limits!$P$18)+1-ROW(Daten!A19))),"")</f>
        <v/>
      </c>
      <c r="K136" t="str">
        <f t="array" aca="1" ref="K136" ca="1">IFERROR(INDEX(Daten!$AB$2:$AB$741,LARGE((Daten!$A$2:$A$741=Limits!$P$18)*(ROW(Daten!$A$2:$A$741)-1),COUNTIF(Daten!$A$2:$A$741,Limits!$P$18)+1-ROW(Daten!A19))),"")</f>
        <v/>
      </c>
      <c r="L136" s="2" t="str">
        <f t="array" aca="1" ref="L136" ca="1">IFERROR(INDEX(Daten!$AD$2:$AD$741,LARGE((Daten!$A$2:$A$741=Limits!$P$18)*(ROW(Daten!$A$2:$A$741)-1),COUNTIF(Daten!$A$2:$A$741,Limits!$P$18)+1-ROW(Daten!A19))),"")</f>
        <v/>
      </c>
      <c r="M136" t="str">
        <f t="array" aca="1" ref="M136" ca="1">IFERROR(INDEX(Daten!$AE$2:$AE$741,LARGE((Daten!$A$2:$A$741=Limits!$P$18)*(ROW(Daten!$A$2:$A$741)-1),COUNTIF(Daten!$A$2:$A$741,Limits!$P$18)+1-ROW(Daten!A19))),"")</f>
        <v/>
      </c>
      <c r="N136" s="2" t="str">
        <f t="array" aca="1" ref="N136" ca="1">IFERROR(INDEX(Daten!$AO$2:$AO$741,LARGE((Daten!$A$2:$A$741=Limits!$P$18)*(ROW(Daten!$A$2:$A$741)-1),COUNTIF(Daten!$A$2:$A$741,Limits!$P$18)+1-ROW(Daten!A19))),"")</f>
        <v/>
      </c>
      <c r="O136" t="str">
        <f t="array" aca="1" ref="O136" ca="1">IFERROR(INDEX(Daten!$AP$2:$AP$741,LARGE((Daten!$A$2:$A$741=Limits!$P$18)*(ROW(Daten!$A$2:$A$741)-1),COUNTIF(Daten!$A$2:$A$741,Limits!$P$18)+1-ROW(Daten!A19))),"")</f>
        <v/>
      </c>
      <c r="P136" t="str">
        <f t="array" aca="1" ref="P136" ca="1">IFERROR(INDEX(Daten!$AS$2:$AS$741,LARGE((Daten!$A$2:$A$741=Limits!$P$18)*(ROW(Daten!$A$2:$A$741)-1),COUNTIF(Daten!$A$2:$A$741,Limits!$P$18)+1-ROW(Daten!A19))),"")</f>
        <v/>
      </c>
      <c r="Q136" t="str">
        <f t="array" aca="1" ref="Q136" ca="1">IFERROR(INDEX(Daten!$AT$2:$AT$741,LARGE((Daten!$A$2:$A$741=Limits!$P$18)*(ROW(Daten!$A$2:$A$741)-1),COUNTIF(Daten!$A$2:$A$741,Limits!$P$18)+1-ROW(Daten!A19))),"")</f>
        <v/>
      </c>
      <c r="R136" s="73" t="str">
        <f t="shared" ca="1" si="1"/>
        <v/>
      </c>
      <c r="S136" s="73" t="str">
        <f t="shared" ca="1" si="2"/>
        <v/>
      </c>
    </row>
    <row r="137" spans="1:19" x14ac:dyDescent="0.25">
      <c r="A137" s="73" t="str">
        <f t="shared" ca="1" si="3"/>
        <v/>
      </c>
      <c r="B137" t="str">
        <f t="array" aca="1" ref="B137" ca="1">IFERROR(INDEX(Daten!$U$2:$U$741,LARGE((Daten!$A$2:$A$741=Limits!$P$18)*(ROW(Daten!$A$2:$A$741)-1),COUNTIF(Daten!$A$2:$A$741,Limits!$P$18)+1-ROW(Daten!A20))),"")</f>
        <v/>
      </c>
      <c r="D137" t="str">
        <f t="array" aca="1" ref="D137" ca="1">IFERROR(INDEX(Daten!$AL$2:$AL$741,LARGE((Daten!$A$2:$A$741=Limits!$P$18)*(ROW(Daten!$A$2:$A$741)-1),COUNTIF(Daten!$A$2:$A$741,Limits!$P$18)+1-ROW(Daten!A20))),"")</f>
        <v/>
      </c>
      <c r="E137" t="str">
        <f t="array" aca="1" ref="E137" ca="1">IFERROR(INDEX(Daten!$AK$2:$AK$741,LARGE((Daten!$A$2:$A$741=Limits!$P$18)*(ROW(Daten!$A$2:$A$741)-1),COUNTIF(Daten!$A$2:$A$741,Limits!$P$18)+1-ROW(Daten!A20))),"")</f>
        <v/>
      </c>
      <c r="F137" t="str">
        <f t="array" aca="1" ref="F137" ca="1">IFERROR(INDEX(Daten!$AM$2:$AM$741,LARGE((Daten!$A$2:$A$741=Limits!$P$18)*(ROW(Daten!$A$2:$A$741)-1),COUNTIF(Daten!$A$2:$A$741,Limits!$P$18)+1-ROW(Daten!A20))),"")</f>
        <v/>
      </c>
      <c r="H137" t="str">
        <f t="array" aca="1" ref="H137" ca="1">IFERROR(INDEX(Daten!$AN$2:$AN$741,LARGE((Daten!$A$2:$A$741=Limits!$P$18)*(ROW(Daten!$A$2:$A$741)-1),COUNTIF(Daten!$A$2:$A$741,Limits!$P$18)+1-ROW(Daten!A20))),"")</f>
        <v/>
      </c>
      <c r="J137" t="str">
        <f t="array" aca="1" ref="J137" ca="1">IFERROR(INDEX(Daten!$AA$2:$AA$741,LARGE((Daten!$A$2:$A$741=Limits!$P$18)*(ROW(Daten!$A$2:$A$741)-1),COUNTIF(Daten!$A$2:$A$741,Limits!$P$18)+1-ROW(Daten!A20))),"")</f>
        <v/>
      </c>
      <c r="K137" t="str">
        <f t="array" aca="1" ref="K137" ca="1">IFERROR(INDEX(Daten!$AB$2:$AB$741,LARGE((Daten!$A$2:$A$741=Limits!$P$18)*(ROW(Daten!$A$2:$A$741)-1),COUNTIF(Daten!$A$2:$A$741,Limits!$P$18)+1-ROW(Daten!A20))),"")</f>
        <v/>
      </c>
      <c r="L137" s="2" t="str">
        <f t="array" aca="1" ref="L137" ca="1">IFERROR(INDEX(Daten!$AD$2:$AD$741,LARGE((Daten!$A$2:$A$741=Limits!$P$18)*(ROW(Daten!$A$2:$A$741)-1),COUNTIF(Daten!$A$2:$A$741,Limits!$P$18)+1-ROW(Daten!A20))),"")</f>
        <v/>
      </c>
      <c r="M137" t="str">
        <f t="array" aca="1" ref="M137" ca="1">IFERROR(INDEX(Daten!$AE$2:$AE$741,LARGE((Daten!$A$2:$A$741=Limits!$P$18)*(ROW(Daten!$A$2:$A$741)-1),COUNTIF(Daten!$A$2:$A$741,Limits!$P$18)+1-ROW(Daten!A20))),"")</f>
        <v/>
      </c>
      <c r="N137" s="2" t="str">
        <f t="array" aca="1" ref="N137" ca="1">IFERROR(INDEX(Daten!$AO$2:$AO$741,LARGE((Daten!$A$2:$A$741=Limits!$P$18)*(ROW(Daten!$A$2:$A$741)-1),COUNTIF(Daten!$A$2:$A$741,Limits!$P$18)+1-ROW(Daten!A20))),"")</f>
        <v/>
      </c>
      <c r="O137" t="str">
        <f t="array" aca="1" ref="O137" ca="1">IFERROR(INDEX(Daten!$AP$2:$AP$741,LARGE((Daten!$A$2:$A$741=Limits!$P$18)*(ROW(Daten!$A$2:$A$741)-1),COUNTIF(Daten!$A$2:$A$741,Limits!$P$18)+1-ROW(Daten!A20))),"")</f>
        <v/>
      </c>
      <c r="P137" t="str">
        <f t="array" aca="1" ref="P137" ca="1">IFERROR(INDEX(Daten!$AS$2:$AS$741,LARGE((Daten!$A$2:$A$741=Limits!$P$18)*(ROW(Daten!$A$2:$A$741)-1),COUNTIF(Daten!$A$2:$A$741,Limits!$P$18)+1-ROW(Daten!A20))),"")</f>
        <v/>
      </c>
      <c r="Q137" t="str">
        <f t="array" aca="1" ref="Q137" ca="1">IFERROR(INDEX(Daten!$AT$2:$AT$741,LARGE((Daten!$A$2:$A$741=Limits!$P$18)*(ROW(Daten!$A$2:$A$741)-1),COUNTIF(Daten!$A$2:$A$741,Limits!$P$18)+1-ROW(Daten!A20))),"")</f>
        <v/>
      </c>
      <c r="R137" s="73" t="str">
        <f t="shared" ca="1" si="1"/>
        <v/>
      </c>
      <c r="S137" s="73" t="str">
        <f t="shared" ca="1" si="2"/>
        <v/>
      </c>
    </row>
    <row r="138" spans="1:19" x14ac:dyDescent="0.25">
      <c r="A138" s="73" t="str">
        <f t="shared" ca="1" si="3"/>
        <v/>
      </c>
      <c r="B138" t="str">
        <f t="array" aca="1" ref="B138" ca="1">IFERROR(INDEX(Daten!$U$2:$U$741,LARGE((Daten!$A$2:$A$741=Limits!$P$18)*(ROW(Daten!$A$2:$A$741)-1),COUNTIF(Daten!$A$2:$A$741,Limits!$P$18)+1-ROW(Daten!A21))),"")</f>
        <v/>
      </c>
      <c r="D138" t="str">
        <f t="array" aca="1" ref="D138" ca="1">IFERROR(INDEX(Daten!$AL$2:$AL$741,LARGE((Daten!$A$2:$A$741=Limits!$P$18)*(ROW(Daten!$A$2:$A$741)-1),COUNTIF(Daten!$A$2:$A$741,Limits!$P$18)+1-ROW(Daten!A21))),"")</f>
        <v/>
      </c>
      <c r="E138" t="str">
        <f t="array" aca="1" ref="E138" ca="1">IFERROR(INDEX(Daten!$AK$2:$AK$741,LARGE((Daten!$A$2:$A$741=Limits!$P$18)*(ROW(Daten!$A$2:$A$741)-1),COUNTIF(Daten!$A$2:$A$741,Limits!$P$18)+1-ROW(Daten!A21))),"")</f>
        <v/>
      </c>
      <c r="F138" t="str">
        <f t="array" aca="1" ref="F138" ca="1">IFERROR(INDEX(Daten!$AM$2:$AM$741,LARGE((Daten!$A$2:$A$741=Limits!$P$18)*(ROW(Daten!$A$2:$A$741)-1),COUNTIF(Daten!$A$2:$A$741,Limits!$P$18)+1-ROW(Daten!A21))),"")</f>
        <v/>
      </c>
      <c r="H138" t="str">
        <f t="array" aca="1" ref="H138" ca="1">IFERROR(INDEX(Daten!$AN$2:$AN$741,LARGE((Daten!$A$2:$A$741=Limits!$P$18)*(ROW(Daten!$A$2:$A$741)-1),COUNTIF(Daten!$A$2:$A$741,Limits!$P$18)+1-ROW(Daten!A21))),"")</f>
        <v/>
      </c>
      <c r="J138" t="str">
        <f t="array" aca="1" ref="J138" ca="1">IFERROR(INDEX(Daten!$AA$2:$AA$741,LARGE((Daten!$A$2:$A$741=Limits!$P$18)*(ROW(Daten!$A$2:$A$741)-1),COUNTIF(Daten!$A$2:$A$741,Limits!$P$18)+1-ROW(Daten!A21))),"")</f>
        <v/>
      </c>
      <c r="K138" t="str">
        <f t="array" aca="1" ref="K138" ca="1">IFERROR(INDEX(Daten!$AB$2:$AB$741,LARGE((Daten!$A$2:$A$741=Limits!$P$18)*(ROW(Daten!$A$2:$A$741)-1),COUNTIF(Daten!$A$2:$A$741,Limits!$P$18)+1-ROW(Daten!A21))),"")</f>
        <v/>
      </c>
      <c r="L138" s="2" t="str">
        <f t="array" aca="1" ref="L138" ca="1">IFERROR(INDEX(Daten!$AD$2:$AD$741,LARGE((Daten!$A$2:$A$741=Limits!$P$18)*(ROW(Daten!$A$2:$A$741)-1),COUNTIF(Daten!$A$2:$A$741,Limits!$P$18)+1-ROW(Daten!A21))),"")</f>
        <v/>
      </c>
      <c r="M138" t="str">
        <f t="array" aca="1" ref="M138" ca="1">IFERROR(INDEX(Daten!$AE$2:$AE$741,LARGE((Daten!$A$2:$A$741=Limits!$P$18)*(ROW(Daten!$A$2:$A$741)-1),COUNTIF(Daten!$A$2:$A$741,Limits!$P$18)+1-ROW(Daten!A21))),"")</f>
        <v/>
      </c>
      <c r="N138" s="2" t="str">
        <f t="array" aca="1" ref="N138" ca="1">IFERROR(INDEX(Daten!$AO$2:$AO$741,LARGE((Daten!$A$2:$A$741=Limits!$P$18)*(ROW(Daten!$A$2:$A$741)-1),COUNTIF(Daten!$A$2:$A$741,Limits!$P$18)+1-ROW(Daten!A21))),"")</f>
        <v/>
      </c>
      <c r="O138" t="str">
        <f t="array" aca="1" ref="O138" ca="1">IFERROR(INDEX(Daten!$AP$2:$AP$741,LARGE((Daten!$A$2:$A$741=Limits!$P$18)*(ROW(Daten!$A$2:$A$741)-1),COUNTIF(Daten!$A$2:$A$741,Limits!$P$18)+1-ROW(Daten!A21))),"")</f>
        <v/>
      </c>
      <c r="P138" t="str">
        <f t="array" aca="1" ref="P138" ca="1">IFERROR(INDEX(Daten!$AS$2:$AS$741,LARGE((Daten!$A$2:$A$741=Limits!$P$18)*(ROW(Daten!$A$2:$A$741)-1),COUNTIF(Daten!$A$2:$A$741,Limits!$P$18)+1-ROW(Daten!A21))),"")</f>
        <v/>
      </c>
      <c r="Q138" t="str">
        <f t="array" aca="1" ref="Q138" ca="1">IFERROR(INDEX(Daten!$AT$2:$AT$741,LARGE((Daten!$A$2:$A$741=Limits!$P$18)*(ROW(Daten!$A$2:$A$741)-1),COUNTIF(Daten!$A$2:$A$741,Limits!$P$18)+1-ROW(Daten!A21))),"")</f>
        <v/>
      </c>
      <c r="R138" s="73" t="str">
        <f t="shared" ca="1" si="1"/>
        <v/>
      </c>
      <c r="S138" s="73" t="str">
        <f t="shared" ca="1" si="2"/>
        <v/>
      </c>
    </row>
    <row r="139" spans="1:19" x14ac:dyDescent="0.25">
      <c r="A139" s="73" t="str">
        <f t="shared" ca="1" si="3"/>
        <v/>
      </c>
      <c r="B139" t="str">
        <f t="array" aca="1" ref="B139" ca="1">IFERROR(INDEX(Daten!$U$2:$U$741,LARGE((Daten!$A$2:$A$741=Limits!$P$18)*(ROW(Daten!$A$2:$A$741)-1),COUNTIF(Daten!$A$2:$A$741,Limits!$P$18)+1-ROW(Daten!A22))),"")</f>
        <v/>
      </c>
      <c r="D139" t="str">
        <f t="array" aca="1" ref="D139" ca="1">IFERROR(INDEX(Daten!$AL$2:$AL$741,LARGE((Daten!$A$2:$A$741=Limits!$P$18)*(ROW(Daten!$A$2:$A$741)-1),COUNTIF(Daten!$A$2:$A$741,Limits!$P$18)+1-ROW(Daten!A22))),"")</f>
        <v/>
      </c>
      <c r="E139" t="str">
        <f t="array" aca="1" ref="E139" ca="1">IFERROR(INDEX(Daten!$AK$2:$AK$741,LARGE((Daten!$A$2:$A$741=Limits!$P$18)*(ROW(Daten!$A$2:$A$741)-1),COUNTIF(Daten!$A$2:$A$741,Limits!$P$18)+1-ROW(Daten!A22))),"")</f>
        <v/>
      </c>
      <c r="F139" t="str">
        <f t="array" aca="1" ref="F139" ca="1">IFERROR(INDEX(Daten!$AM$2:$AM$741,LARGE((Daten!$A$2:$A$741=Limits!$P$18)*(ROW(Daten!$A$2:$A$741)-1),COUNTIF(Daten!$A$2:$A$741,Limits!$P$18)+1-ROW(Daten!A22))),"")</f>
        <v/>
      </c>
      <c r="H139" t="str">
        <f t="array" aca="1" ref="H139" ca="1">IFERROR(INDEX(Daten!$AN$2:$AN$741,LARGE((Daten!$A$2:$A$741=Limits!$P$18)*(ROW(Daten!$A$2:$A$741)-1),COUNTIF(Daten!$A$2:$A$741,Limits!$P$18)+1-ROW(Daten!A22))),"")</f>
        <v/>
      </c>
      <c r="J139" t="str">
        <f t="array" aca="1" ref="J139" ca="1">IFERROR(INDEX(Daten!$AA$2:$AA$741,LARGE((Daten!$A$2:$A$741=Limits!$P$18)*(ROW(Daten!$A$2:$A$741)-1),COUNTIF(Daten!$A$2:$A$741,Limits!$P$18)+1-ROW(Daten!A22))),"")</f>
        <v/>
      </c>
      <c r="K139" t="str">
        <f t="array" aca="1" ref="K139" ca="1">IFERROR(INDEX(Daten!$AB$2:$AB$741,LARGE((Daten!$A$2:$A$741=Limits!$P$18)*(ROW(Daten!$A$2:$A$741)-1),COUNTIF(Daten!$A$2:$A$741,Limits!$P$18)+1-ROW(Daten!A22))),"")</f>
        <v/>
      </c>
      <c r="L139" s="2" t="str">
        <f t="array" aca="1" ref="L139" ca="1">IFERROR(INDEX(Daten!$AD$2:$AD$741,LARGE((Daten!$A$2:$A$741=Limits!$P$18)*(ROW(Daten!$A$2:$A$741)-1),COUNTIF(Daten!$A$2:$A$741,Limits!$P$18)+1-ROW(Daten!A22))),"")</f>
        <v/>
      </c>
      <c r="M139" t="str">
        <f t="array" aca="1" ref="M139" ca="1">IFERROR(INDEX(Daten!$AE$2:$AE$741,LARGE((Daten!$A$2:$A$741=Limits!$P$18)*(ROW(Daten!$A$2:$A$741)-1),COUNTIF(Daten!$A$2:$A$741,Limits!$P$18)+1-ROW(Daten!A22))),"")</f>
        <v/>
      </c>
      <c r="N139" s="2" t="str">
        <f t="array" aca="1" ref="N139" ca="1">IFERROR(INDEX(Daten!$AO$2:$AO$741,LARGE((Daten!$A$2:$A$741=Limits!$P$18)*(ROW(Daten!$A$2:$A$741)-1),COUNTIF(Daten!$A$2:$A$741,Limits!$P$18)+1-ROW(Daten!A22))),"")</f>
        <v/>
      </c>
      <c r="O139" t="str">
        <f t="array" aca="1" ref="O139" ca="1">IFERROR(INDEX(Daten!$AP$2:$AP$741,LARGE((Daten!$A$2:$A$741=Limits!$P$18)*(ROW(Daten!$A$2:$A$741)-1),COUNTIF(Daten!$A$2:$A$741,Limits!$P$18)+1-ROW(Daten!A22))),"")</f>
        <v/>
      </c>
      <c r="P139" t="str">
        <f t="array" aca="1" ref="P139" ca="1">IFERROR(INDEX(Daten!$AS$2:$AS$741,LARGE((Daten!$A$2:$A$741=Limits!$P$18)*(ROW(Daten!$A$2:$A$741)-1),COUNTIF(Daten!$A$2:$A$741,Limits!$P$18)+1-ROW(Daten!A22))),"")</f>
        <v/>
      </c>
      <c r="Q139" t="str">
        <f t="array" aca="1" ref="Q139" ca="1">IFERROR(INDEX(Daten!$AT$2:$AT$741,LARGE((Daten!$A$2:$A$741=Limits!$P$18)*(ROW(Daten!$A$2:$A$741)-1),COUNTIF(Daten!$A$2:$A$741,Limits!$P$18)+1-ROW(Daten!A22))),"")</f>
        <v/>
      </c>
      <c r="R139" s="73" t="str">
        <f t="shared" ca="1" si="1"/>
        <v/>
      </c>
      <c r="S139" s="73" t="str">
        <f t="shared" ca="1" si="2"/>
        <v/>
      </c>
    </row>
    <row r="140" spans="1:19" x14ac:dyDescent="0.25">
      <c r="A140" s="73" t="str">
        <f t="shared" ca="1" si="3"/>
        <v/>
      </c>
      <c r="B140" t="str">
        <f t="array" aca="1" ref="B140" ca="1">IFERROR(INDEX(Daten!$U$2:$U$741,LARGE((Daten!$A$2:$A$741=Limits!$P$18)*(ROW(Daten!$A$2:$A$741)-1),COUNTIF(Daten!$A$2:$A$741,Limits!$P$18)+1-ROW(Daten!A23))),"")</f>
        <v/>
      </c>
      <c r="D140" t="str">
        <f t="array" aca="1" ref="D140" ca="1">IFERROR(INDEX(Daten!$AL$2:$AL$741,LARGE((Daten!$A$2:$A$741=Limits!$P$18)*(ROW(Daten!$A$2:$A$741)-1),COUNTIF(Daten!$A$2:$A$741,Limits!$P$18)+1-ROW(Daten!A23))),"")</f>
        <v/>
      </c>
      <c r="E140" t="str">
        <f t="array" aca="1" ref="E140" ca="1">IFERROR(INDEX(Daten!$AK$2:$AK$741,LARGE((Daten!$A$2:$A$741=Limits!$P$18)*(ROW(Daten!$A$2:$A$741)-1),COUNTIF(Daten!$A$2:$A$741,Limits!$P$18)+1-ROW(Daten!A23))),"")</f>
        <v/>
      </c>
      <c r="F140" t="str">
        <f t="array" aca="1" ref="F140" ca="1">IFERROR(INDEX(Daten!$AM$2:$AM$741,LARGE((Daten!$A$2:$A$741=Limits!$P$18)*(ROW(Daten!$A$2:$A$741)-1),COUNTIF(Daten!$A$2:$A$741,Limits!$P$18)+1-ROW(Daten!A23))),"")</f>
        <v/>
      </c>
      <c r="H140" t="str">
        <f t="array" aca="1" ref="H140" ca="1">IFERROR(INDEX(Daten!$AN$2:$AN$741,LARGE((Daten!$A$2:$A$741=Limits!$P$18)*(ROW(Daten!$A$2:$A$741)-1),COUNTIF(Daten!$A$2:$A$741,Limits!$P$18)+1-ROW(Daten!A23))),"")</f>
        <v/>
      </c>
      <c r="J140" t="str">
        <f t="array" aca="1" ref="J140" ca="1">IFERROR(INDEX(Daten!$AA$2:$AA$741,LARGE((Daten!$A$2:$A$741=Limits!$P$18)*(ROW(Daten!$A$2:$A$741)-1),COUNTIF(Daten!$A$2:$A$741,Limits!$P$18)+1-ROW(Daten!A23))),"")</f>
        <v/>
      </c>
      <c r="K140" t="str">
        <f t="array" aca="1" ref="K140" ca="1">IFERROR(INDEX(Daten!$AB$2:$AB$741,LARGE((Daten!$A$2:$A$741=Limits!$P$18)*(ROW(Daten!$A$2:$A$741)-1),COUNTIF(Daten!$A$2:$A$741,Limits!$P$18)+1-ROW(Daten!A23))),"")</f>
        <v/>
      </c>
      <c r="L140" s="2" t="str">
        <f t="array" aca="1" ref="L140" ca="1">IFERROR(INDEX(Daten!$AD$2:$AD$741,LARGE((Daten!$A$2:$A$741=Limits!$P$18)*(ROW(Daten!$A$2:$A$741)-1),COUNTIF(Daten!$A$2:$A$741,Limits!$P$18)+1-ROW(Daten!A23))),"")</f>
        <v/>
      </c>
      <c r="M140" t="str">
        <f t="array" aca="1" ref="M140" ca="1">IFERROR(INDEX(Daten!$AE$2:$AE$741,LARGE((Daten!$A$2:$A$741=Limits!$P$18)*(ROW(Daten!$A$2:$A$741)-1),COUNTIF(Daten!$A$2:$A$741,Limits!$P$18)+1-ROW(Daten!A23))),"")</f>
        <v/>
      </c>
      <c r="N140" s="2" t="str">
        <f t="array" aca="1" ref="N140" ca="1">IFERROR(INDEX(Daten!$AO$2:$AO$741,LARGE((Daten!$A$2:$A$741=Limits!$P$18)*(ROW(Daten!$A$2:$A$741)-1),COUNTIF(Daten!$A$2:$A$741,Limits!$P$18)+1-ROW(Daten!A23))),"")</f>
        <v/>
      </c>
      <c r="O140" t="str">
        <f t="array" aca="1" ref="O140" ca="1">IFERROR(INDEX(Daten!$AP$2:$AP$741,LARGE((Daten!$A$2:$A$741=Limits!$P$18)*(ROW(Daten!$A$2:$A$741)-1),COUNTIF(Daten!$A$2:$A$741,Limits!$P$18)+1-ROW(Daten!A23))),"")</f>
        <v/>
      </c>
      <c r="P140" t="str">
        <f t="array" aca="1" ref="P140" ca="1">IFERROR(INDEX(Daten!$AS$2:$AS$741,LARGE((Daten!$A$2:$A$741=Limits!$P$18)*(ROW(Daten!$A$2:$A$741)-1),COUNTIF(Daten!$A$2:$A$741,Limits!$P$18)+1-ROW(Daten!A23))),"")</f>
        <v/>
      </c>
      <c r="Q140" t="str">
        <f t="array" aca="1" ref="Q140" ca="1">IFERROR(INDEX(Daten!$AT$2:$AT$741,LARGE((Daten!$A$2:$A$741=Limits!$P$18)*(ROW(Daten!$A$2:$A$741)-1),COUNTIF(Daten!$A$2:$A$741,Limits!$P$18)+1-ROW(Daten!A23))),"")</f>
        <v/>
      </c>
      <c r="R140" s="73" t="str">
        <f t="shared" ca="1" si="1"/>
        <v/>
      </c>
      <c r="S140" s="73" t="str">
        <f t="shared" ca="1" si="2"/>
        <v/>
      </c>
    </row>
    <row r="141" spans="1:19" x14ac:dyDescent="0.25">
      <c r="A141" s="73" t="str">
        <f ca="1">IFERROR(LARGE(R141:S141,1)-SMALL(P141:Q141,1),"")</f>
        <v/>
      </c>
      <c r="B141" t="str">
        <f t="array" aca="1" ref="B141" ca="1">IFERROR(INDEX(Daten!$U$2:$U$741,LARGE((Daten!$A$2:$A$741=Limits!$P$18)*(ROW(Daten!$A$2:$A$741)-1),COUNTIF(Daten!$A$2:$A$741,Limits!$P$18)+1-ROW(Daten!A24))),"")</f>
        <v/>
      </c>
      <c r="D141" t="str">
        <f t="array" aca="1" ref="D141" ca="1">IFERROR(INDEX(Daten!$AL$2:$AL$741,LARGE((Daten!$A$2:$A$741=Limits!$P$18)*(ROW(Daten!$A$2:$A$741)-1),COUNTIF(Daten!$A$2:$A$741,Limits!$P$18)+1-ROW(Daten!A24))),"")</f>
        <v/>
      </c>
      <c r="E141" t="str">
        <f t="array" aca="1" ref="E141" ca="1">IFERROR(INDEX(Daten!$AK$2:$AK$741,LARGE((Daten!$A$2:$A$741=Limits!$P$18)*(ROW(Daten!$A$2:$A$741)-1),COUNTIF(Daten!$A$2:$A$741,Limits!$P$18)+1-ROW(Daten!A24))),"")</f>
        <v/>
      </c>
      <c r="F141" t="str">
        <f t="array" aca="1" ref="F141" ca="1">IFERROR(INDEX(Daten!$AM$2:$AM$741,LARGE((Daten!$A$2:$A$741=Limits!$P$18)*(ROW(Daten!$A$2:$A$741)-1),COUNTIF(Daten!$A$2:$A$741,Limits!$P$18)+1-ROW(Daten!A24))),"")</f>
        <v/>
      </c>
      <c r="H141" t="str">
        <f t="array" aca="1" ref="H141" ca="1">IFERROR(INDEX(Daten!$AN$2:$AN$741,LARGE((Daten!$A$2:$A$741=Limits!$P$18)*(ROW(Daten!$A$2:$A$741)-1),COUNTIF(Daten!$A$2:$A$741,Limits!$P$18)+1-ROW(Daten!A24))),"")</f>
        <v/>
      </c>
      <c r="J141" t="str">
        <f t="array" aca="1" ref="J141" ca="1">IFERROR(INDEX(Daten!$AA$2:$AA$741,LARGE((Daten!$A$2:$A$741=Limits!$P$18)*(ROW(Daten!$A$2:$A$741)-1),COUNTIF(Daten!$A$2:$A$741,Limits!$P$18)+1-ROW(Daten!A24))),"")</f>
        <v/>
      </c>
      <c r="K141" t="str">
        <f t="array" aca="1" ref="K141" ca="1">IFERROR(INDEX(Daten!$AB$2:$AB$741,LARGE((Daten!$A$2:$A$741=Limits!$P$18)*(ROW(Daten!$A$2:$A$741)-1),COUNTIF(Daten!$A$2:$A$741,Limits!$P$18)+1-ROW(Daten!A24))),"")</f>
        <v/>
      </c>
      <c r="L141" s="2" t="str">
        <f t="array" aca="1" ref="L141" ca="1">IFERROR(INDEX(Daten!$AD$2:$AD$741,LARGE((Daten!$A$2:$A$741=Limits!$P$18)*(ROW(Daten!$A$2:$A$741)-1),COUNTIF(Daten!$A$2:$A$741,Limits!$P$18)+1-ROW(Daten!A24))),"")</f>
        <v/>
      </c>
      <c r="M141" t="str">
        <f t="array" aca="1" ref="M141" ca="1">IFERROR(INDEX(Daten!$AE$2:$AE$741,LARGE((Daten!$A$2:$A$741=Limits!$P$18)*(ROW(Daten!$A$2:$A$741)-1),COUNTIF(Daten!$A$2:$A$741,Limits!$P$18)+1-ROW(Daten!A24))),"")</f>
        <v/>
      </c>
      <c r="N141" s="2" t="str">
        <f t="array" aca="1" ref="N141" ca="1">IFERROR(INDEX(Daten!$AO$2:$AO$741,LARGE((Daten!$A$2:$A$741=Limits!$P$18)*(ROW(Daten!$A$2:$A$741)-1),COUNTIF(Daten!$A$2:$A$741,Limits!$P$18)+1-ROW(Daten!A24))),"")</f>
        <v/>
      </c>
      <c r="O141" t="str">
        <f t="array" aca="1" ref="O141" ca="1">IFERROR(INDEX(Daten!$AP$2:$AP$741,LARGE((Daten!$A$2:$A$741=Limits!$P$18)*(ROW(Daten!$A$2:$A$741)-1),COUNTIF(Daten!$A$2:$A$741,Limits!$P$18)+1-ROW(Daten!A24))),"")</f>
        <v/>
      </c>
      <c r="P141" t="str">
        <f t="array" aca="1" ref="P141" ca="1">IFERROR(INDEX(Daten!$AS$2:$AS$741,LARGE((Daten!$A$2:$A$741=Limits!$P$18)*(ROW(Daten!$A$2:$A$741)-1),COUNTIF(Daten!$A$2:$A$741,Limits!$P$18)+1-ROW(Daten!A24))),"")</f>
        <v/>
      </c>
      <c r="Q141" t="str">
        <f t="array" aca="1" ref="Q141" ca="1">IFERROR(INDEX(Daten!$AT$2:$AT$741,LARGE((Daten!$A$2:$A$741=Limits!$P$18)*(ROW(Daten!$A$2:$A$741)-1),COUNTIF(Daten!$A$2:$A$741,Limits!$P$18)+1-ROW(Daten!A24))),"")</f>
        <v/>
      </c>
      <c r="R141" s="73" t="str">
        <f t="shared" ca="1" si="1"/>
        <v/>
      </c>
      <c r="S141" s="73" t="str">
        <f t="shared" ca="1" si="2"/>
        <v/>
      </c>
    </row>
    <row r="142" spans="1:19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R142" s="73"/>
      <c r="S142" s="73"/>
    </row>
    <row r="143" spans="1:19" x14ac:dyDescent="0.25">
      <c r="B143" s="73" t="str">
        <f ca="1">VLOOKUP($A$117,$A$118:$Q$141,2,FALSE)</f>
        <v>F-20 Складной подъемник</v>
      </c>
      <c r="C143" s="73"/>
      <c r="D143" s="73" t="str">
        <f ca="1">VLOOKUP($A$117,$A$118:$Q$141,4,FALSE)</f>
        <v>Комплект (Л + П)</v>
      </c>
      <c r="E143" s="73" t="str">
        <f ca="1">VLOOKUP($A$117,$A$118:$Q$141,5,FALSE)</f>
        <v>F152145246201</v>
      </c>
      <c r="F143" s="73" t="str">
        <f ca="1">VLOOKUP($A$117,$A$118:$Q$141,6,FALSE)</f>
        <v>Направляющий рычаг, тип 7</v>
      </c>
      <c r="G143" s="73"/>
      <c r="H143" s="73" t="str">
        <f ca="1">VLOOKUP($A$117,$A$118:$Q$141,8,FALSE)</f>
        <v>Силовой механизм C</v>
      </c>
      <c r="I143" s="73"/>
      <c r="J143" s="73">
        <f ca="1">VLOOKUP($A$117,$A$118:$Q$141,10,FALSE)</f>
        <v>750</v>
      </c>
      <c r="K143" s="73">
        <f ca="1">VLOOKUP($A$117,$A$118:$Q$141,11,FALSE)</f>
        <v>800</v>
      </c>
      <c r="L143" s="73">
        <f ca="1">VLOOKUP($A$117,$A$118:$Q$141,12,FALSE)</f>
        <v>6</v>
      </c>
      <c r="M143" s="73">
        <f ca="1">VLOOKUP($A$117,$A$118:$Q$141,13,FALSE)</f>
        <v>15.6</v>
      </c>
      <c r="N143" s="73" t="str">
        <f ca="1">VLOOKUP($A$117,$A$118:$Q$141,14,FALSE)</f>
        <v>-</v>
      </c>
      <c r="O143" s="73" t="str">
        <f ca="1">VLOOKUP($A$117,$A$118:$Q$141,15,FALSE)</f>
        <v>-</v>
      </c>
      <c r="P143" s="73" t="str">
        <f ca="1">VLOOKUP($A$117,$A$118:$Q$141,16,FALSE)</f>
        <v>TIOMOS 120° Шарнир</v>
      </c>
      <c r="Q143" s="73" t="str">
        <f ca="1">VLOOKUP($A$117,$A$118:$Q$141,17,FALSE)</f>
        <v>1D° Монтажная плита</v>
      </c>
    </row>
    <row r="144" spans="1:19" x14ac:dyDescent="0.25">
      <c r="D144" t="str">
        <f ca="1">LEFT(E143,4)</f>
        <v>F152</v>
      </c>
    </row>
    <row r="145" spans="2:19" x14ac:dyDescent="0.25">
      <c r="D145" t="str">
        <f ca="1">MID(E143,5,3)</f>
        <v>145</v>
      </c>
      <c r="J145" s="73" t="str">
        <f ca="1">IF(J143&lt;&gt;K143,J143 &amp; " - " &amp; K143,J143)</f>
        <v>750 - 800</v>
      </c>
      <c r="K145" s="73"/>
      <c r="L145" s="73" t="str">
        <f ca="1">L143&amp; " kg  - " &amp;M143 &amp; " kg"</f>
        <v>6 kg  - 15,6 kg</v>
      </c>
      <c r="M145" s="73"/>
      <c r="N145" s="73" t="str">
        <f ca="1">IF(N143&lt;&gt;"-",Sprache!A96 &amp; ": "&amp;N143&amp; "       " &amp;Sprache!A108&amp; ": "&amp;O143,"")</f>
        <v/>
      </c>
      <c r="O145" s="73"/>
      <c r="P145" s="73"/>
      <c r="Q145" s="73"/>
      <c r="R145" s="73"/>
      <c r="S145" s="73"/>
    </row>
    <row r="146" spans="2:19" x14ac:dyDescent="0.25">
      <c r="D146" s="117" t="str">
        <f ca="1">MID(E143,8,3)</f>
        <v>246</v>
      </c>
      <c r="N146" t="str">
        <f ca="1">IF(N143&lt;&gt;"-",Sprache!A96 &amp; ": "&amp;N143&amp; "       " &amp;Sprache!A108&amp; ": ","")</f>
        <v/>
      </c>
    </row>
    <row r="147" spans="2:19" x14ac:dyDescent="0.25">
      <c r="D147" t="str">
        <f ca="1">RIGHT(E143,3)</f>
        <v>201</v>
      </c>
      <c r="N147" s="117" t="str">
        <f ca="1">LEFT(O143,4)</f>
        <v>-</v>
      </c>
    </row>
    <row r="148" spans="2:19" x14ac:dyDescent="0.25">
      <c r="M148" s="58"/>
      <c r="N148" s="117" t="str">
        <f ca="1">MID(O143,5,3)</f>
        <v/>
      </c>
    </row>
    <row r="149" spans="2:19" x14ac:dyDescent="0.25">
      <c r="N149" s="117" t="str">
        <f ca="1">MID(O143,8,3)</f>
        <v/>
      </c>
    </row>
    <row r="150" spans="2:19" x14ac:dyDescent="0.25">
      <c r="N150" s="117" t="str">
        <f ca="1">RIGHT(O143,3)</f>
        <v>-</v>
      </c>
    </row>
    <row r="154" spans="2:19" x14ac:dyDescent="0.25">
      <c r="B154" t="s">
        <v>1738</v>
      </c>
      <c r="C154" t="s">
        <v>1677</v>
      </c>
      <c r="D154" t="s">
        <v>1534</v>
      </c>
      <c r="O154" t="s">
        <v>1739</v>
      </c>
    </row>
    <row r="155" spans="2:19" x14ac:dyDescent="0.25">
      <c r="B155" s="73" t="str">
        <f t="array" aca="1" ref="B155" ca="1">IFERROR(INDEX(Tabelle1[TeilNr],LARGE((Tabelle1[Set Nr]=Limits!$E$143)*(ROW(Tabelle1[Set Nr])-1),COUNTIF(Tabelle1[Set Nr],Limits!$E$143)+1-ROW(Industrieverpackung!A1))),"")</f>
        <v/>
      </c>
      <c r="C155" s="73" t="str">
        <f t="array" aca="1" ref="C155" ca="1">IFERROR(INDEX(Tabelle1[VPE],LARGE((Tabelle1[Set Nr]=Limits!$E$143)*(ROW(Tabelle1[Set Nr])-1),COUNTIF(Tabelle1[Set Nr],Limits!$E$143)+1-ROW(Industrieverpackung!A1))),"")</f>
        <v/>
      </c>
      <c r="D155" s="73" t="str">
        <f t="array" aca="1" ref="D155" ca="1">IFERROR(INDEX(Tabelle1[Bezeichnung],LARGE((Tabelle1[Set Nr]=Limits!$E$143)*(ROW(Tabelle1[Set Nr])-1),COUNTIF(Tabelle1[Set Nr],Limits!$E$143)+1-ROW(Industrieverpackung!A1))),"")</f>
        <v/>
      </c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 t="str">
        <f t="array" aca="1" ref="O155" ca="1">IFERROR(INDEX(Tabelle1[Teil Kommentar],LARGE((Tabelle1[Set Nr]=Limits!$E$143)*(ROW(Tabelle1[Set Nr])-1),COUNTIF(Tabelle1[Set Nr],Limits!$E$143)+1-ROW(Industrieverpackung!A1))),"")</f>
        <v/>
      </c>
    </row>
    <row r="156" spans="2:19" x14ac:dyDescent="0.25">
      <c r="B156" s="73" t="str">
        <f t="array" aca="1" ref="B156" ca="1">IFERROR(INDEX(Tabelle1[TeilNr],LARGE((Tabelle1[Set Nr]=Limits!$E$143)*(ROW(Tabelle1[Set Nr])-1),COUNTIF(Tabelle1[Set Nr],Limits!$E$143)+1-ROW(Industrieverpackung!A2))),"")</f>
        <v/>
      </c>
      <c r="C156" s="73" t="str">
        <f t="array" aca="1" ref="C156" ca="1">IFERROR(INDEX(Tabelle1[VPE],LARGE((Tabelle1[Set Nr]=Limits!$E$143)*(ROW(Tabelle1[Set Nr])-1),COUNTIF(Tabelle1[Set Nr],Limits!$E$143)+1-ROW(Industrieverpackung!A2))),"")</f>
        <v/>
      </c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 t="str">
        <f t="array" aca="1" ref="O156" ca="1">IFERROR(INDEX(Tabelle1[Teil Kommentar],LARGE((Tabelle1[Set Nr]=Limits!$E$143)*(ROW(Tabelle1[Set Nr])-1),COUNTIF(Tabelle1[Set Nr],Limits!$E$143)+1-ROW(Industrieverpackung!A2))),"")</f>
        <v/>
      </c>
    </row>
    <row r="157" spans="2:19" x14ac:dyDescent="0.25">
      <c r="B157" s="73" t="str">
        <f t="array" aca="1" ref="B157" ca="1">IFERROR(INDEX(Tabelle1[TeilNr],LARGE((Tabelle1[Set Nr]=Limits!$E$143)*(ROW(Tabelle1[Set Nr])-1),COUNTIF(Tabelle1[Set Nr],Limits!$E$143)+1-ROW(Industrieverpackung!A3))),"")</f>
        <v/>
      </c>
      <c r="C157" s="73" t="str">
        <f t="array" aca="1" ref="C157" ca="1">IFERROR(INDEX(Tabelle1[VPE],LARGE((Tabelle1[Set Nr]=Limits!$E$143)*(ROW(Tabelle1[Set Nr])-1),COUNTIF(Tabelle1[Set Nr],Limits!$E$143)+1-ROW(Industrieverpackung!A3))),"")</f>
        <v/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 t="str">
        <f t="array" aca="1" ref="O157" ca="1">IFERROR(INDEX(Tabelle1[Teil Kommentar],LARGE((Tabelle1[Set Nr]=Limits!$E$143)*(ROW(Tabelle1[Set Nr])-1),COUNTIF(Tabelle1[Set Nr],Limits!$E$143)+1-ROW(Industrieverpackung!A3))),"")</f>
        <v/>
      </c>
    </row>
    <row r="158" spans="2:19" x14ac:dyDescent="0.25">
      <c r="B158" s="73" t="str">
        <f t="array" aca="1" ref="B158" ca="1">IFERROR(INDEX(Tabelle1[TeilNr],LARGE((Tabelle1[Set Nr]=Limits!$E$143)*(ROW(Tabelle1[Set Nr])-1),COUNTIF(Tabelle1[Set Nr],Limits!$E$143)+1-ROW(Industrieverpackung!A4))),"")</f>
        <v/>
      </c>
      <c r="C158" s="73" t="str">
        <f t="array" aca="1" ref="C158" ca="1">IFERROR(INDEX(Tabelle1[VPE],LARGE((Tabelle1[Set Nr]=Limits!$E$143)*(ROW(Tabelle1[Set Nr])-1),COUNTIF(Tabelle1[Set Nr],Limits!$E$143)+1-ROW(Industrieverpackung!A4))),"")</f>
        <v/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 t="str">
        <f t="array" aca="1" ref="O158" ca="1">IFERROR(INDEX(Tabelle1[Teil Kommentar],LARGE((Tabelle1[Set Nr]=Limits!$E$143)*(ROW(Tabelle1[Set Nr])-1),COUNTIF(Tabelle1[Set Nr],Limits!$E$143)+1-ROW(Industrieverpackung!A4))),"")</f>
        <v/>
      </c>
    </row>
    <row r="159" spans="2:19" x14ac:dyDescent="0.25">
      <c r="B159" s="73" t="str">
        <f t="array" aca="1" ref="B159" ca="1">IFERROR(INDEX(Tabelle1[TeilNr],LARGE((Tabelle1[Set Nr]=Limits!$E$143)*(ROW(Tabelle1[Set Nr])-1),COUNTIF(Tabelle1[Set Nr],Limits!$E$143)+1-ROW(Industrieverpackung!A5))),"")</f>
        <v/>
      </c>
      <c r="C159" s="73" t="str">
        <f t="array" aca="1" ref="C159" ca="1">IFERROR(INDEX(Tabelle1[VPE],LARGE((Tabelle1[Set Nr]=Limits!$E$143)*(ROW(Tabelle1[Set Nr])-1),COUNTIF(Tabelle1[Set Nr],Limits!$E$143)+1-ROW(Industrieverpackung!A5))),"")</f>
        <v/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 t="str">
        <f t="array" aca="1" ref="O159" ca="1">IFERROR(INDEX(Tabelle1[Teil Kommentar],LARGE((Tabelle1[Set Nr]=Limits!$E$143)*(ROW(Tabelle1[Set Nr])-1),COUNTIF(Tabelle1[Set Nr],Limits!$E$143)+1-ROW(Industrieverpackung!A5))),"")</f>
        <v/>
      </c>
    </row>
    <row r="160" spans="2:19" x14ac:dyDescent="0.25">
      <c r="B160" s="73" t="str">
        <f t="array" aca="1" ref="B160" ca="1">IFERROR(INDEX(Tabelle1[TeilNr],LARGE((Tabelle1[Set Nr]=Limits!$E$143)*(ROW(Tabelle1[Set Nr])-1),COUNTIF(Tabelle1[Set Nr],Limits!$E$143)+1-ROW(Industrieverpackung!A6))),"")</f>
        <v/>
      </c>
      <c r="C160" s="73" t="str">
        <f t="array" aca="1" ref="C160" ca="1">IFERROR(INDEX(Tabelle1[VPE],LARGE((Tabelle1[Set Nr]=Limits!$E$143)*(ROW(Tabelle1[Set Nr])-1),COUNTIF(Tabelle1[Set Nr],Limits!$E$143)+1-ROW(Industrieverpackung!A6))),"")</f>
        <v/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 t="str">
        <f t="array" aca="1" ref="O160" ca="1">IFERROR(INDEX(Tabelle1[Teil Kommentar],LARGE((Tabelle1[Set Nr]=Limits!$E$143)*(ROW(Tabelle1[Set Nr])-1),COUNTIF(Tabelle1[Set Nr],Limits!$E$143)+1-ROW(Industrieverpackung!A6))),"")</f>
        <v/>
      </c>
    </row>
    <row r="161" spans="2:15" x14ac:dyDescent="0.25">
      <c r="B161" s="73" t="str">
        <f t="array" aca="1" ref="B161" ca="1">IFERROR(INDEX(Tabelle1[TeilNr],LARGE((Tabelle1[Set Nr]=Limits!$E$143)*(ROW(Tabelle1[Set Nr])-1),COUNTIF(Tabelle1[Set Nr],Limits!$E$143)+1-ROW(Industrieverpackung!A7))),"")</f>
        <v/>
      </c>
      <c r="C161" s="73" t="str">
        <f t="array" aca="1" ref="C161" ca="1">IFERROR(INDEX(Tabelle1[VPE],LARGE((Tabelle1[Set Nr]=Limits!$E$143)*(ROW(Tabelle1[Set Nr])-1),COUNTIF(Tabelle1[Set Nr],Limits!$E$143)+1-ROW(Industrieverpackung!A7))),"")</f>
        <v/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 t="str">
        <f t="array" aca="1" ref="O161" ca="1">IFERROR(INDEX(Tabelle1[Teil Kommentar],LARGE((Tabelle1[Set Nr]=Limits!$E$143)*(ROW(Tabelle1[Set Nr])-1),COUNTIF(Tabelle1[Set Nr],Limits!$E$143)+1-ROW(Industrieverpackung!A7))),"")</f>
        <v/>
      </c>
    </row>
    <row r="162" spans="2:15" x14ac:dyDescent="0.25">
      <c r="B162" s="73" t="str">
        <f t="array" aca="1" ref="B162" ca="1">IFERROR(INDEX(Tabelle1[TeilNr],LARGE((Tabelle1[Set Nr]=Limits!$E$143)*(ROW(Tabelle1[Set Nr])-1),COUNTIF(Tabelle1[Set Nr],Limits!$E$143)+1-ROW(Industrieverpackung!A8))),"")</f>
        <v/>
      </c>
      <c r="C162" s="73" t="str">
        <f t="array" aca="1" ref="C162" ca="1">IFERROR(INDEX(Tabelle1[VPE],LARGE((Tabelle1[Set Nr]=Limits!$E$143)*(ROW(Tabelle1[Set Nr])-1),COUNTIF(Tabelle1[Set Nr],Limits!$E$143)+1-ROW(Industrieverpackung!A8))),"")</f>
        <v/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 t="str">
        <f t="array" aca="1" ref="O162" ca="1">IFERROR(INDEX(Tabelle1[Teil Kommentar],LARGE((Tabelle1[Set Nr]=Limits!$E$143)*(ROW(Tabelle1[Set Nr])-1),COUNTIF(Tabelle1[Set Nr],Limits!$E$143)+1-ROW(Industrieverpackung!A8))),"")</f>
        <v/>
      </c>
    </row>
    <row r="163" spans="2:15" x14ac:dyDescent="0.25">
      <c r="B163" s="73" t="str">
        <f t="array" aca="1" ref="B163" ca="1">IFERROR(INDEX(Tabelle1[TeilNr],LARGE((Tabelle1[Set Nr]=Limits!$E$143)*(ROW(Tabelle1[Set Nr])-1),COUNTIF(Tabelle1[Set Nr],Limits!$E$143)+1-ROW(Industrieverpackung!A9))),"")</f>
        <v/>
      </c>
      <c r="C163" s="73" t="str">
        <f t="array" aca="1" ref="C163" ca="1">IFERROR(INDEX(Tabelle1[VPE],LARGE((Tabelle1[Set Nr]=Limits!$E$143)*(ROW(Tabelle1[Set Nr])-1),COUNTIF(Tabelle1[Set Nr],Limits!$E$143)+1-ROW(Industrieverpackung!A9))),"")</f>
        <v/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 t="str">
        <f t="array" aca="1" ref="O163" ca="1">IFERROR(INDEX(Tabelle1[Teil Kommentar],LARGE((Tabelle1[Set Nr]=Limits!$E$143)*(ROW(Tabelle1[Set Nr])-1),COUNTIF(Tabelle1[Set Nr],Limits!$E$143)+1-ROW(Industrieverpackung!A9))),"")</f>
        <v/>
      </c>
    </row>
    <row r="164" spans="2:15" x14ac:dyDescent="0.25">
      <c r="B164" s="73" t="str">
        <f t="array" aca="1" ref="B164" ca="1">IFERROR(INDEX(Tabelle1[TeilNr],LARGE((Tabelle1[Set Nr]=Limits!$E$143)*(ROW(Tabelle1[Set Nr])-1),COUNTIF(Tabelle1[Set Nr],Limits!$E$143)+1-ROW(Industrieverpackung!A10))),"")</f>
        <v/>
      </c>
      <c r="C164" s="73" t="str">
        <f t="array" aca="1" ref="C164" ca="1">IFERROR(INDEX(Tabelle1[VPE],LARGE((Tabelle1[Set Nr]=Limits!$E$143)*(ROW(Tabelle1[Set Nr])-1),COUNTIF(Tabelle1[Set Nr],Limits!$E$143)+1-ROW(Industrieverpackung!A10))),"")</f>
        <v/>
      </c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 t="str">
        <f t="array" aca="1" ref="O164" ca="1">IFERROR(INDEX(Tabelle1[Teil Kommentar],LARGE((Tabelle1[Set Nr]=Limits!$E$143)*(ROW(Tabelle1[Set Nr])-1),COUNTIF(Tabelle1[Set Nr],Limits!$E$143)+1-ROW(Industrieverpackung!A10))),"")</f>
        <v/>
      </c>
    </row>
    <row r="165" spans="2:15" x14ac:dyDescent="0.25">
      <c r="B165" s="73" t="str">
        <f t="array" aca="1" ref="B165" ca="1">IFERROR(INDEX(Tabelle1[TeilNr],LARGE((Tabelle1[Set Nr]=Limits!$E$143)*(ROW(Tabelle1[Set Nr])-1),COUNTIF(Tabelle1[Set Nr],Limits!$E$143)+1-ROW(Industrieverpackung!A11))),"")</f>
        <v/>
      </c>
      <c r="C165" s="73" t="str">
        <f t="array" aca="1" ref="C165" ca="1">IFERROR(INDEX(Tabelle1[VPE],LARGE((Tabelle1[Set Nr]=Limits!$E$143)*(ROW(Tabelle1[Set Nr])-1),COUNTIF(Tabelle1[Set Nr],Limits!$E$143)+1-ROW(Industrieverpackung!A11))),"")</f>
        <v/>
      </c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 t="str">
        <f t="array" aca="1" ref="O165" ca="1">IFERROR(INDEX(Tabelle1[Teil Kommentar],LARGE((Tabelle1[Set Nr]=Limits!$E$143)*(ROW(Tabelle1[Set Nr])-1),COUNTIF(Tabelle1[Set Nr],Limits!$E$143)+1-ROW(Industrieverpackung!A11))),"")</f>
        <v/>
      </c>
    </row>
    <row r="166" spans="2:15" x14ac:dyDescent="0.25">
      <c r="B166" s="73" t="str">
        <f t="array" aca="1" ref="B166" ca="1">IFERROR(INDEX(Tabelle1[TeilNr],LARGE((Tabelle1[Set Nr]=Limits!$E$143)*(ROW(Tabelle1[Set Nr])-1),COUNTIF(Tabelle1[Set Nr],Limits!$E$143)+1-ROW(Industrieverpackung!A12))),"")</f>
        <v/>
      </c>
      <c r="C166" s="73" t="str">
        <f t="array" aca="1" ref="C166" ca="1">IFERROR(INDEX(Tabelle1[VPE],LARGE((Tabelle1[Set Nr]=Limits!$E$143)*(ROW(Tabelle1[Set Nr])-1),COUNTIF(Tabelle1[Set Nr],Limits!$E$143)+1-ROW(Industrieverpackung!A12))),"")</f>
        <v/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 t="str">
        <f t="array" aca="1" ref="O166" ca="1">IFERROR(INDEX(Tabelle1[Teil Kommentar],LARGE((Tabelle1[Set Nr]=Limits!$E$143)*(ROW(Tabelle1[Set Nr])-1),COUNTIF(Tabelle1[Set Nr],Limits!$E$143)+1-ROW(Industrieverpackung!A12))),"")</f>
        <v/>
      </c>
    </row>
    <row r="167" spans="2:15" x14ac:dyDescent="0.25">
      <c r="B167" s="73" t="str">
        <f t="array" aca="1" ref="B167" ca="1">IFERROR(INDEX(Tabelle1[TeilNr],LARGE((Tabelle1[Set Nr]=Limits!$E$143)*(ROW(Tabelle1[Set Nr])-1),COUNTIF(Tabelle1[Set Nr],Limits!$E$143)+1-ROW(Industrieverpackung!A13))),"")</f>
        <v/>
      </c>
      <c r="C167" s="73" t="str">
        <f t="array" aca="1" ref="C167" ca="1">IFERROR(INDEX(Tabelle1[VPE],LARGE((Tabelle1[Set Nr]=Limits!$E$143)*(ROW(Tabelle1[Set Nr])-1),COUNTIF(Tabelle1[Set Nr],Limits!$E$143)+1-ROW(Industrieverpackung!A13))),"")</f>
        <v/>
      </c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 t="str">
        <f t="array" aca="1" ref="O167" ca="1">IFERROR(INDEX(Tabelle1[Teil Kommentar],LARGE((Tabelle1[Set Nr]=Limits!$E$143)*(ROW(Tabelle1[Set Nr])-1),COUNTIF(Tabelle1[Set Nr],Limits!$E$143)+1-ROW(Industrieverpackung!A13))),"")</f>
        <v/>
      </c>
    </row>
    <row r="168" spans="2:15" x14ac:dyDescent="0.25">
      <c r="B168" s="73" t="str">
        <f t="array" aca="1" ref="B168" ca="1">IFERROR(INDEX(Tabelle1[TeilNr],LARGE((Tabelle1[Set Nr]=Limits!$E$143)*(ROW(Tabelle1[Set Nr])-1),COUNTIF(Tabelle1[Set Nr],Limits!$E$143)+1-ROW(Industrieverpackung!A14))),"")</f>
        <v/>
      </c>
      <c r="C168" s="73" t="str">
        <f t="array" aca="1" ref="C168" ca="1">IFERROR(INDEX(Tabelle1[VPE],LARGE((Tabelle1[Set Nr]=Limits!$E$143)*(ROW(Tabelle1[Set Nr])-1),COUNTIF(Tabelle1[Set Nr],Limits!$E$143)+1-ROW(Industrieverpackung!A14))),"")</f>
        <v/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 t="str">
        <f t="array" aca="1" ref="O168" ca="1">IFERROR(INDEX(Tabelle1[Teil Kommentar],LARGE((Tabelle1[Set Nr]=Limits!$E$143)*(ROW(Tabelle1[Set Nr])-1),COUNTIF(Tabelle1[Set Nr],Limits!$E$143)+1-ROW(Industrieverpackung!A14))),"")</f>
        <v/>
      </c>
    </row>
    <row r="169" spans="2:15" x14ac:dyDescent="0.25">
      <c r="B169" s="73" t="str">
        <f t="array" aca="1" ref="B169" ca="1">IFERROR(INDEX(Tabelle1[TeilNr],LARGE((Tabelle1[Set Nr]=Limits!$E$143)*(ROW(Tabelle1[Set Nr])-1),COUNTIF(Tabelle1[Set Nr],Limits!$E$143)+1-ROW(Industrieverpackung!A15))),"")</f>
        <v/>
      </c>
      <c r="C169" s="73" t="str">
        <f t="array" aca="1" ref="C169" ca="1">IFERROR(INDEX(Tabelle1[VPE],LARGE((Tabelle1[Set Nr]=Limits!$E$143)*(ROW(Tabelle1[Set Nr])-1),COUNTIF(Tabelle1[Set Nr],Limits!$E$143)+1-ROW(Industrieverpackung!A15))),"")</f>
        <v/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 t="str">
        <f t="array" aca="1" ref="O169" ca="1">IFERROR(INDEX(Tabelle1[Teil Kommentar],LARGE((Tabelle1[Set Nr]=Limits!$E$143)*(ROW(Tabelle1[Set Nr])-1),COUNTIF(Tabelle1[Set Nr],Limits!$E$143)+1-ROW(Industrieverpackung!A15))),"")</f>
        <v/>
      </c>
    </row>
    <row r="170" spans="2:15" x14ac:dyDescent="0.25">
      <c r="B170" s="73" t="str">
        <f t="array" aca="1" ref="B170" ca="1">IFERROR(INDEX(Tabelle1[TeilNr],LARGE((Tabelle1[Set Nr]=Limits!$E$143)*(ROW(Tabelle1[Set Nr])-1),COUNTIF(Tabelle1[Set Nr],Limits!$E$143)+1-ROW(Industrieverpackung!A16))),"")</f>
        <v/>
      </c>
      <c r="C170" s="73" t="str">
        <f t="array" aca="1" ref="C170" ca="1">IFERROR(INDEX(Tabelle1[VPE],LARGE((Tabelle1[Set Nr]=Limits!$E$143)*(ROW(Tabelle1[Set Nr])-1),COUNTIF(Tabelle1[Set Nr],Limits!$E$143)+1-ROW(Industrieverpackung!A16))),"")</f>
        <v/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 t="str">
        <f t="array" aca="1" ref="O170" ca="1">IFERROR(INDEX(Tabelle1[Teil Kommentar],LARGE((Tabelle1[Set Nr]=Limits!$E$143)*(ROW(Tabelle1[Set Nr])-1),COUNTIF(Tabelle1[Set Nr],Limits!$E$143)+1-ROW(Industrieverpackung!A16))),"")</f>
        <v/>
      </c>
    </row>
  </sheetData>
  <pageMargins left="0.7" right="0.7" top="0.78740157499999996" bottom="0.78740157499999996" header="0.3" footer="0.3"/>
  <pageSetup paperSize="9" orientation="portrait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P43"/>
  <sheetViews>
    <sheetView zoomScale="80" zoomScaleNormal="80" workbookViewId="0"/>
  </sheetViews>
  <sheetFormatPr defaultColWidth="11.42578125" defaultRowHeight="15" x14ac:dyDescent="0.25"/>
  <cols>
    <col min="1" max="1" width="11.42578125" style="13"/>
    <col min="2" max="2" width="62.7109375" style="13" bestFit="1" customWidth="1"/>
    <col min="3" max="3" width="10.5703125" style="13" bestFit="1" customWidth="1"/>
    <col min="4" max="4" width="15.7109375" style="13" customWidth="1"/>
    <col min="5" max="5" width="25.28515625" style="13" bestFit="1" customWidth="1"/>
    <col min="6" max="6" width="26.5703125" style="13" bestFit="1" customWidth="1"/>
    <col min="7" max="8" width="5.7109375" style="13" customWidth="1"/>
    <col min="9" max="9" width="3.7109375" style="13" customWidth="1"/>
    <col min="10" max="11" width="4.7109375" style="13" customWidth="1"/>
    <col min="12" max="12" width="3.7109375" style="13" customWidth="1"/>
    <col min="13" max="13" width="51.28515625" style="13" bestFit="1" customWidth="1"/>
    <col min="14" max="14" width="15.7109375" style="13" customWidth="1"/>
    <col min="15" max="15" width="41" style="13" bestFit="1" customWidth="1"/>
    <col min="16" max="16" width="24.42578125" style="13" bestFit="1" customWidth="1"/>
    <col min="17" max="16384" width="11.42578125" style="13"/>
  </cols>
  <sheetData>
    <row r="1" spans="1:16" x14ac:dyDescent="0.25">
      <c r="A1" s="115" t="str">
        <f ca="1">Sprache!$A$105</f>
        <v>← назад</v>
      </c>
    </row>
    <row r="2" spans="1:16" ht="31.5" x14ac:dyDescent="0.5">
      <c r="B2" s="388" t="str">
        <f ca="1">Sprache!$A$90 &amp; " KINVARO " &amp; Sprache!$A$92</f>
        <v>Решения с KINVARO фурнитурой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</row>
    <row r="3" spans="1:16" x14ac:dyDescent="0.25">
      <c r="B3" s="112"/>
      <c r="C3" s="112" t="str">
        <f ca="1">Limits!$D$75</f>
        <v>Сторона</v>
      </c>
      <c r="D3" s="112" t="str">
        <f ca="1">Limits!$E$75</f>
        <v>Артикул №</v>
      </c>
      <c r="E3" s="112" t="str">
        <f ca="1">Limits!$F$75</f>
        <v>Наименование</v>
      </c>
      <c r="F3" s="112" t="str">
        <f ca="1">Limits!$H$75</f>
        <v>Силовой механизм</v>
      </c>
      <c r="G3" s="387" t="str">
        <f ca="1">Limits!$J$75</f>
        <v>Высота</v>
      </c>
      <c r="H3" s="387"/>
      <c r="I3" s="113"/>
      <c r="J3" s="387" t="str">
        <f ca="1">Limits!$L$75</f>
        <v>Вес</v>
      </c>
      <c r="K3" s="387"/>
      <c r="L3" s="113"/>
      <c r="M3" s="112" t="str">
        <f ca="1">Limits!$N$75</f>
        <v>Требуется также</v>
      </c>
      <c r="N3" s="112"/>
      <c r="O3" s="112" t="str">
        <f ca="1">Limits!P75</f>
        <v>Шарнир</v>
      </c>
      <c r="P3" s="112">
        <f ca="1">Limits!Q75</f>
        <v>0</v>
      </c>
    </row>
    <row r="4" spans="1:16" x14ac:dyDescent="0.25">
      <c r="B4" s="114" t="str">
        <f ca="1">Limits!B76</f>
        <v>F-20 Складной подъемник</v>
      </c>
      <c r="C4" s="114" t="str">
        <f ca="1">Limits!D76</f>
        <v>Комплект (Л + П)</v>
      </c>
      <c r="D4" s="114" t="str">
        <f ca="1">Limits!E76</f>
        <v>F152145246201</v>
      </c>
      <c r="E4" s="114" t="str">
        <f ca="1">Limits!F76</f>
        <v>Направляющий рычаг, тип 7</v>
      </c>
      <c r="F4" s="114" t="str">
        <f ca="1">Limits!H76</f>
        <v>Силовой механизм C</v>
      </c>
      <c r="G4" s="114">
        <f ca="1">Limits!J76</f>
        <v>750</v>
      </c>
      <c r="H4" s="114">
        <f ca="1">Limits!K76</f>
        <v>800</v>
      </c>
      <c r="I4" s="114"/>
      <c r="J4" s="114">
        <f ca="1">Limits!L76</f>
        <v>6</v>
      </c>
      <c r="K4" s="114">
        <f ca="1">Limits!M76</f>
        <v>15.6</v>
      </c>
      <c r="L4" s="114"/>
      <c r="M4" s="114" t="str">
        <f ca="1">Limits!N76</f>
        <v>-</v>
      </c>
      <c r="N4" s="114" t="str">
        <f ca="1">Limits!O76</f>
        <v>-</v>
      </c>
      <c r="O4" s="114" t="str">
        <f ca="1">IF(Limits!P76&lt;&gt;0,Limits!P76,"")</f>
        <v>TIOMOS 120° Шарнир</v>
      </c>
      <c r="P4" s="114" t="str">
        <f ca="1">IF(Limits!Q76&lt;&gt;0,Limits!Q76,"")</f>
        <v>1D° Монтажная плита</v>
      </c>
    </row>
    <row r="5" spans="1:16" x14ac:dyDescent="0.25">
      <c r="B5" s="114" t="str">
        <f ca="1">Limits!B77</f>
        <v>F-20 Складной подъемник</v>
      </c>
      <c r="C5" s="114" t="str">
        <f ca="1">Limits!D77</f>
        <v>Комплект (Л + П)</v>
      </c>
      <c r="D5" s="114" t="str">
        <f ca="1">Limits!E77</f>
        <v>F152145247201</v>
      </c>
      <c r="E5" s="114" t="str">
        <f ca="1">Limits!F77</f>
        <v>Направляющий рычаг, тип 7</v>
      </c>
      <c r="F5" s="114" t="str">
        <f ca="1">Limits!H77</f>
        <v>Силовой механизм D</v>
      </c>
      <c r="G5" s="114">
        <f ca="1">Limits!J77</f>
        <v>750</v>
      </c>
      <c r="H5" s="114">
        <f ca="1">Limits!K77</f>
        <v>800</v>
      </c>
      <c r="I5" s="114"/>
      <c r="J5" s="114">
        <f ca="1">Limits!L77</f>
        <v>8.6</v>
      </c>
      <c r="K5" s="114">
        <f ca="1">Limits!M77</f>
        <v>19.2</v>
      </c>
      <c r="L5" s="114"/>
      <c r="M5" s="114" t="str">
        <f ca="1">Limits!N77</f>
        <v>-</v>
      </c>
      <c r="N5" s="114" t="str">
        <f ca="1">Limits!O77</f>
        <v>-</v>
      </c>
      <c r="O5" s="114" t="str">
        <f ca="1">IF(Limits!P77&lt;&gt;0,Limits!P77,"")</f>
        <v>TIOMOS 120° Шарнир</v>
      </c>
      <c r="P5" s="114" t="str">
        <f ca="1">IF(Limits!Q77&lt;&gt;0,Limits!Q77,"")</f>
        <v>1D° Монтажная плита</v>
      </c>
    </row>
    <row r="6" spans="1:16" x14ac:dyDescent="0.25">
      <c r="B6" s="114" t="str">
        <f ca="1">Limits!B78</f>
        <v/>
      </c>
      <c r="C6" s="114" t="str">
        <f ca="1">Limits!D78</f>
        <v/>
      </c>
      <c r="D6" s="114" t="str">
        <f ca="1">Limits!E78</f>
        <v/>
      </c>
      <c r="E6" s="114" t="str">
        <f ca="1">Limits!F78</f>
        <v/>
      </c>
      <c r="F6" s="114" t="str">
        <f ca="1">Limits!H78</f>
        <v/>
      </c>
      <c r="G6" s="114" t="str">
        <f ca="1">Limits!J78</f>
        <v/>
      </c>
      <c r="H6" s="114" t="str">
        <f ca="1">Limits!K78</f>
        <v/>
      </c>
      <c r="I6" s="114"/>
      <c r="J6" s="114" t="str">
        <f ca="1">Limits!L78</f>
        <v/>
      </c>
      <c r="K6" s="114" t="str">
        <f ca="1">Limits!M78</f>
        <v/>
      </c>
      <c r="L6" s="114"/>
      <c r="M6" s="114" t="str">
        <f ca="1">Limits!N78</f>
        <v/>
      </c>
      <c r="N6" s="114" t="str">
        <f ca="1">Limits!O78</f>
        <v/>
      </c>
      <c r="O6" s="114" t="str">
        <f ca="1">IF(Limits!P78&lt;&gt;0,Limits!P78,"")</f>
        <v/>
      </c>
      <c r="P6" s="114" t="str">
        <f ca="1">IF(Limits!Q78&lt;&gt;0,Limits!Q78,"")</f>
        <v/>
      </c>
    </row>
    <row r="7" spans="1:16" x14ac:dyDescent="0.25">
      <c r="B7" s="114" t="str">
        <f ca="1">Limits!B79</f>
        <v/>
      </c>
      <c r="C7" s="114" t="str">
        <f ca="1">Limits!D79</f>
        <v/>
      </c>
      <c r="D7" s="114" t="str">
        <f ca="1">Limits!E79</f>
        <v/>
      </c>
      <c r="E7" s="114" t="str">
        <f ca="1">Limits!F79</f>
        <v/>
      </c>
      <c r="F7" s="114" t="str">
        <f ca="1">Limits!H79</f>
        <v/>
      </c>
      <c r="G7" s="114" t="str">
        <f ca="1">Limits!J79</f>
        <v/>
      </c>
      <c r="H7" s="114" t="str">
        <f ca="1">Limits!K79</f>
        <v/>
      </c>
      <c r="I7" s="114"/>
      <c r="J7" s="114" t="str">
        <f ca="1">Limits!L79</f>
        <v/>
      </c>
      <c r="K7" s="114" t="str">
        <f ca="1">Limits!M79</f>
        <v/>
      </c>
      <c r="L7" s="114"/>
      <c r="M7" s="114" t="str">
        <f ca="1">Limits!N79</f>
        <v/>
      </c>
      <c r="N7" s="114" t="str">
        <f ca="1">Limits!O79</f>
        <v/>
      </c>
      <c r="O7" s="114" t="str">
        <f ca="1">IF(Limits!P79&lt;&gt;0,Limits!P79,"")</f>
        <v/>
      </c>
      <c r="P7" s="114" t="str">
        <f ca="1">IF(Limits!Q79&lt;&gt;0,Limits!Q79,"")</f>
        <v/>
      </c>
    </row>
    <row r="8" spans="1:16" x14ac:dyDescent="0.25">
      <c r="B8" s="114" t="str">
        <f ca="1">Limits!B80</f>
        <v/>
      </c>
      <c r="C8" s="114" t="str">
        <f ca="1">Limits!D80</f>
        <v/>
      </c>
      <c r="D8" s="114" t="str">
        <f ca="1">Limits!E80</f>
        <v/>
      </c>
      <c r="E8" s="114" t="str">
        <f ca="1">Limits!F80</f>
        <v/>
      </c>
      <c r="F8" s="114" t="str">
        <f ca="1">Limits!H80</f>
        <v/>
      </c>
      <c r="G8" s="114" t="str">
        <f ca="1">Limits!J80</f>
        <v/>
      </c>
      <c r="H8" s="114" t="str">
        <f ca="1">Limits!K80</f>
        <v/>
      </c>
      <c r="I8" s="114"/>
      <c r="J8" s="114" t="str">
        <f ca="1">Limits!L80</f>
        <v/>
      </c>
      <c r="K8" s="114" t="str">
        <f ca="1">Limits!M80</f>
        <v/>
      </c>
      <c r="L8" s="114"/>
      <c r="M8" s="114" t="str">
        <f ca="1">Limits!N80</f>
        <v/>
      </c>
      <c r="N8" s="114" t="str">
        <f ca="1">Limits!O80</f>
        <v/>
      </c>
      <c r="O8" s="114" t="str">
        <f ca="1">IF(Limits!P80&lt;&gt;0,Limits!P80,"")</f>
        <v/>
      </c>
      <c r="P8" s="114" t="str">
        <f ca="1">IF(Limits!Q80&lt;&gt;0,Limits!Q80,"")</f>
        <v/>
      </c>
    </row>
    <row r="9" spans="1:16" x14ac:dyDescent="0.25">
      <c r="B9" s="114" t="str">
        <f ca="1">Limits!B81</f>
        <v/>
      </c>
      <c r="C9" s="114" t="str">
        <f ca="1">Limits!D81</f>
        <v/>
      </c>
      <c r="D9" s="114" t="str">
        <f ca="1">Limits!E81</f>
        <v/>
      </c>
      <c r="E9" s="114" t="str">
        <f ca="1">Limits!F81</f>
        <v/>
      </c>
      <c r="F9" s="114" t="str">
        <f ca="1">Limits!H81</f>
        <v/>
      </c>
      <c r="G9" s="114" t="str">
        <f ca="1">Limits!J81</f>
        <v/>
      </c>
      <c r="H9" s="114" t="str">
        <f ca="1">Limits!K81</f>
        <v/>
      </c>
      <c r="I9" s="114"/>
      <c r="J9" s="114" t="str">
        <f ca="1">Limits!L81</f>
        <v/>
      </c>
      <c r="K9" s="114" t="str">
        <f ca="1">Limits!M81</f>
        <v/>
      </c>
      <c r="L9" s="114"/>
      <c r="M9" s="114" t="str">
        <f ca="1">Limits!N81</f>
        <v/>
      </c>
      <c r="N9" s="114" t="str">
        <f ca="1">Limits!O81</f>
        <v/>
      </c>
      <c r="O9" s="114" t="str">
        <f ca="1">IF(Limits!P81&lt;&gt;0,Limits!P81,"")</f>
        <v/>
      </c>
      <c r="P9" s="114" t="str">
        <f ca="1">IF(Limits!Q81&lt;&gt;0,Limits!Q81,"")</f>
        <v/>
      </c>
    </row>
    <row r="10" spans="1:16" x14ac:dyDescent="0.25">
      <c r="B10" s="114" t="str">
        <f ca="1">Limits!B82</f>
        <v/>
      </c>
      <c r="C10" s="114" t="str">
        <f ca="1">Limits!D82</f>
        <v/>
      </c>
      <c r="D10" s="114" t="str">
        <f ca="1">Limits!E82</f>
        <v/>
      </c>
      <c r="E10" s="114" t="str">
        <f ca="1">Limits!F82</f>
        <v/>
      </c>
      <c r="F10" s="114" t="str">
        <f ca="1">Limits!H82</f>
        <v/>
      </c>
      <c r="G10" s="114" t="str">
        <f ca="1">Limits!J82</f>
        <v/>
      </c>
      <c r="H10" s="114" t="str">
        <f ca="1">Limits!K82</f>
        <v/>
      </c>
      <c r="I10" s="114"/>
      <c r="J10" s="114" t="str">
        <f ca="1">Limits!L82</f>
        <v/>
      </c>
      <c r="K10" s="114" t="str">
        <f ca="1">Limits!M82</f>
        <v/>
      </c>
      <c r="L10" s="114"/>
      <c r="M10" s="114" t="str">
        <f ca="1">Limits!N82</f>
        <v/>
      </c>
      <c r="N10" s="114" t="str">
        <f ca="1">Limits!O82</f>
        <v/>
      </c>
      <c r="O10" s="114" t="str">
        <f ca="1">IF(Limits!P82&lt;&gt;0,Limits!P82,"")</f>
        <v/>
      </c>
      <c r="P10" s="114" t="str">
        <f ca="1">IF(Limits!Q82&lt;&gt;0,Limits!Q82,"")</f>
        <v/>
      </c>
    </row>
    <row r="11" spans="1:16" x14ac:dyDescent="0.25">
      <c r="B11" s="114" t="str">
        <f ca="1">Limits!B83</f>
        <v/>
      </c>
      <c r="C11" s="114" t="str">
        <f ca="1">Limits!D83</f>
        <v/>
      </c>
      <c r="D11" s="114" t="str">
        <f ca="1">Limits!E83</f>
        <v/>
      </c>
      <c r="E11" s="114" t="str">
        <f ca="1">Limits!F83</f>
        <v/>
      </c>
      <c r="F11" s="114" t="str">
        <f ca="1">Limits!H83</f>
        <v/>
      </c>
      <c r="G11" s="114" t="str">
        <f ca="1">Limits!J83</f>
        <v/>
      </c>
      <c r="H11" s="114" t="str">
        <f ca="1">Limits!K83</f>
        <v/>
      </c>
      <c r="I11" s="114"/>
      <c r="J11" s="114" t="str">
        <f ca="1">Limits!L83</f>
        <v/>
      </c>
      <c r="K11" s="114" t="str">
        <f ca="1">Limits!M83</f>
        <v/>
      </c>
      <c r="L11" s="114"/>
      <c r="M11" s="114" t="str">
        <f ca="1">Limits!N83</f>
        <v/>
      </c>
      <c r="N11" s="114" t="str">
        <f ca="1">Limits!O83</f>
        <v/>
      </c>
      <c r="O11" s="114" t="str">
        <f ca="1">IF(Limits!P83&lt;&gt;0,Limits!P83,"")</f>
        <v/>
      </c>
      <c r="P11" s="114" t="str">
        <f ca="1">IF(Limits!Q83&lt;&gt;0,Limits!Q83,"")</f>
        <v/>
      </c>
    </row>
    <row r="12" spans="1:16" x14ac:dyDescent="0.25">
      <c r="B12" s="114" t="str">
        <f ca="1">Limits!B84</f>
        <v/>
      </c>
      <c r="C12" s="114" t="str">
        <f ca="1">Limits!D84</f>
        <v/>
      </c>
      <c r="D12" s="114" t="str">
        <f ca="1">Limits!E84</f>
        <v/>
      </c>
      <c r="E12" s="114" t="str">
        <f ca="1">Limits!F84</f>
        <v/>
      </c>
      <c r="F12" s="114" t="str">
        <f ca="1">Limits!H84</f>
        <v/>
      </c>
      <c r="G12" s="114" t="str">
        <f ca="1">Limits!J84</f>
        <v/>
      </c>
      <c r="H12" s="114" t="str">
        <f ca="1">Limits!K84</f>
        <v/>
      </c>
      <c r="I12" s="114"/>
      <c r="J12" s="114" t="str">
        <f ca="1">Limits!L84</f>
        <v/>
      </c>
      <c r="K12" s="114" t="str">
        <f ca="1">Limits!M84</f>
        <v/>
      </c>
      <c r="L12" s="114"/>
      <c r="M12" s="114" t="str">
        <f ca="1">Limits!N84</f>
        <v/>
      </c>
      <c r="N12" s="114" t="str">
        <f ca="1">Limits!O84</f>
        <v/>
      </c>
      <c r="O12" s="114" t="str">
        <f ca="1">IF(Limits!P84&lt;&gt;0,Limits!P84,"")</f>
        <v/>
      </c>
      <c r="P12" s="114" t="str">
        <f ca="1">IF(Limits!Q84&lt;&gt;0,Limits!Q84,"")</f>
        <v/>
      </c>
    </row>
    <row r="13" spans="1:16" x14ac:dyDescent="0.25">
      <c r="B13" s="114" t="str">
        <f ca="1">Limits!B85</f>
        <v/>
      </c>
      <c r="C13" s="114" t="str">
        <f ca="1">Limits!D85</f>
        <v/>
      </c>
      <c r="D13" s="114" t="str">
        <f ca="1">Limits!E85</f>
        <v/>
      </c>
      <c r="E13" s="114" t="str">
        <f ca="1">Limits!F85</f>
        <v/>
      </c>
      <c r="F13" s="114" t="str">
        <f ca="1">Limits!H85</f>
        <v/>
      </c>
      <c r="G13" s="114" t="str">
        <f ca="1">Limits!J85</f>
        <v/>
      </c>
      <c r="H13" s="114" t="str">
        <f ca="1">Limits!K85</f>
        <v/>
      </c>
      <c r="I13" s="114"/>
      <c r="J13" s="114" t="str">
        <f ca="1">Limits!L85</f>
        <v/>
      </c>
      <c r="K13" s="114" t="str">
        <f ca="1">Limits!M85</f>
        <v/>
      </c>
      <c r="L13" s="114"/>
      <c r="M13" s="114" t="str">
        <f ca="1">Limits!N85</f>
        <v/>
      </c>
      <c r="N13" s="114" t="str">
        <f ca="1">Limits!O85</f>
        <v/>
      </c>
      <c r="O13" s="114" t="str">
        <f ca="1">IF(Limits!P85&lt;&gt;0,Limits!P85,"")</f>
        <v/>
      </c>
      <c r="P13" s="114" t="str">
        <f ca="1">IF(Limits!Q85&lt;&gt;0,Limits!Q85,"")</f>
        <v/>
      </c>
    </row>
    <row r="14" spans="1:16" x14ac:dyDescent="0.25">
      <c r="B14" s="114" t="str">
        <f ca="1">Limits!B86</f>
        <v/>
      </c>
      <c r="C14" s="114" t="str">
        <f ca="1">Limits!D86</f>
        <v/>
      </c>
      <c r="D14" s="114" t="str">
        <f ca="1">Limits!E86</f>
        <v/>
      </c>
      <c r="E14" s="114" t="str">
        <f ca="1">Limits!F86</f>
        <v/>
      </c>
      <c r="F14" s="114" t="str">
        <f ca="1">Limits!H86</f>
        <v/>
      </c>
      <c r="G14" s="114" t="str">
        <f ca="1">Limits!J86</f>
        <v/>
      </c>
      <c r="H14" s="114" t="str">
        <f ca="1">Limits!K86</f>
        <v/>
      </c>
      <c r="I14" s="114"/>
      <c r="J14" s="114" t="str">
        <f ca="1">Limits!L86</f>
        <v/>
      </c>
      <c r="K14" s="114" t="str">
        <f ca="1">Limits!M86</f>
        <v/>
      </c>
      <c r="L14" s="114"/>
      <c r="M14" s="114" t="str">
        <f ca="1">Limits!N86</f>
        <v/>
      </c>
      <c r="N14" s="114" t="str">
        <f ca="1">Limits!O86</f>
        <v/>
      </c>
      <c r="O14" s="114" t="str">
        <f ca="1">IF(Limits!P86&lt;&gt;0,Limits!P86,"")</f>
        <v/>
      </c>
      <c r="P14" s="114" t="str">
        <f ca="1">IF(Limits!Q86&lt;&gt;0,Limits!Q86,"")</f>
        <v/>
      </c>
    </row>
    <row r="15" spans="1:16" x14ac:dyDescent="0.25">
      <c r="B15" s="114" t="str">
        <f ca="1">Limits!B87</f>
        <v/>
      </c>
      <c r="C15" s="114" t="str">
        <f ca="1">Limits!D87</f>
        <v/>
      </c>
      <c r="D15" s="114" t="str">
        <f ca="1">Limits!E87</f>
        <v/>
      </c>
      <c r="E15" s="114" t="str">
        <f ca="1">Limits!F87</f>
        <v/>
      </c>
      <c r="F15" s="114" t="str">
        <f ca="1">Limits!H87</f>
        <v/>
      </c>
      <c r="G15" s="114" t="str">
        <f ca="1">Limits!J87</f>
        <v/>
      </c>
      <c r="H15" s="114" t="str">
        <f ca="1">Limits!K87</f>
        <v/>
      </c>
      <c r="I15" s="114"/>
      <c r="J15" s="114" t="str">
        <f ca="1">Limits!L87</f>
        <v/>
      </c>
      <c r="K15" s="114" t="str">
        <f ca="1">Limits!M87</f>
        <v/>
      </c>
      <c r="L15" s="114"/>
      <c r="M15" s="114" t="str">
        <f ca="1">Limits!N87</f>
        <v/>
      </c>
      <c r="N15" s="114" t="str">
        <f ca="1">Limits!O87</f>
        <v/>
      </c>
      <c r="O15" s="114" t="str">
        <f ca="1">IF(Limits!P87&lt;&gt;0,Limits!P87,"")</f>
        <v/>
      </c>
      <c r="P15" s="114" t="str">
        <f ca="1">IF(Limits!Q87&lt;&gt;0,Limits!Q87,"")</f>
        <v/>
      </c>
    </row>
    <row r="16" spans="1:16" x14ac:dyDescent="0.25">
      <c r="B16" s="114" t="str">
        <f ca="1">Limits!B88</f>
        <v/>
      </c>
      <c r="C16" s="114" t="str">
        <f ca="1">Limits!D88</f>
        <v/>
      </c>
      <c r="D16" s="114" t="str">
        <f ca="1">Limits!E88</f>
        <v/>
      </c>
      <c r="E16" s="114" t="str">
        <f ca="1">Limits!F88</f>
        <v/>
      </c>
      <c r="F16" s="114" t="str">
        <f ca="1">Limits!H88</f>
        <v/>
      </c>
      <c r="G16" s="114" t="str">
        <f ca="1">Limits!J88</f>
        <v/>
      </c>
      <c r="H16" s="114" t="str">
        <f ca="1">Limits!K88</f>
        <v/>
      </c>
      <c r="I16" s="114"/>
      <c r="J16" s="114" t="str">
        <f ca="1">Limits!L88</f>
        <v/>
      </c>
      <c r="K16" s="114" t="str">
        <f ca="1">Limits!M88</f>
        <v/>
      </c>
      <c r="L16" s="114"/>
      <c r="M16" s="114" t="str">
        <f ca="1">Limits!N88</f>
        <v/>
      </c>
      <c r="N16" s="114" t="str">
        <f ca="1">Limits!O88</f>
        <v/>
      </c>
      <c r="O16" s="114" t="str">
        <f ca="1">IF(Limits!P88&lt;&gt;0,Limits!P88,"")</f>
        <v/>
      </c>
      <c r="P16" s="114" t="str">
        <f ca="1">IF(Limits!Q88&lt;&gt;0,Limits!Q88,"")</f>
        <v/>
      </c>
    </row>
    <row r="17" spans="2:16" x14ac:dyDescent="0.25">
      <c r="B17" s="114" t="str">
        <f ca="1">Limits!B89</f>
        <v/>
      </c>
      <c r="C17" s="114" t="str">
        <f ca="1">Limits!D89</f>
        <v/>
      </c>
      <c r="D17" s="114" t="str">
        <f ca="1">Limits!E89</f>
        <v/>
      </c>
      <c r="E17" s="114" t="str">
        <f ca="1">Limits!F89</f>
        <v/>
      </c>
      <c r="F17" s="114" t="str">
        <f ca="1">Limits!H89</f>
        <v/>
      </c>
      <c r="G17" s="114" t="str">
        <f ca="1">Limits!J89</f>
        <v/>
      </c>
      <c r="H17" s="114" t="str">
        <f ca="1">Limits!K89</f>
        <v/>
      </c>
      <c r="I17" s="114"/>
      <c r="J17" s="114" t="str">
        <f ca="1">Limits!L89</f>
        <v/>
      </c>
      <c r="K17" s="114" t="str">
        <f ca="1">Limits!M89</f>
        <v/>
      </c>
      <c r="L17" s="114"/>
      <c r="M17" s="114" t="str">
        <f ca="1">Limits!N89</f>
        <v/>
      </c>
      <c r="N17" s="114" t="str">
        <f ca="1">Limits!O89</f>
        <v/>
      </c>
      <c r="O17" s="114" t="str">
        <f ca="1">IF(Limits!P89&lt;&gt;0,Limits!P89,"")</f>
        <v/>
      </c>
      <c r="P17" s="114" t="str">
        <f ca="1">IF(Limits!Q89&lt;&gt;0,Limits!Q89,"")</f>
        <v/>
      </c>
    </row>
    <row r="18" spans="2:16" x14ac:dyDescent="0.25">
      <c r="B18" s="114" t="str">
        <f ca="1">Limits!B90</f>
        <v/>
      </c>
      <c r="C18" s="114" t="str">
        <f ca="1">Limits!D90</f>
        <v/>
      </c>
      <c r="D18" s="114" t="str">
        <f ca="1">Limits!E90</f>
        <v/>
      </c>
      <c r="E18" s="114" t="str">
        <f ca="1">Limits!F90</f>
        <v/>
      </c>
      <c r="F18" s="114" t="str">
        <f ca="1">Limits!H90</f>
        <v/>
      </c>
      <c r="G18" s="114" t="str">
        <f ca="1">Limits!J90</f>
        <v/>
      </c>
      <c r="H18" s="114" t="str">
        <f ca="1">Limits!K90</f>
        <v/>
      </c>
      <c r="I18" s="114"/>
      <c r="J18" s="114" t="str">
        <f ca="1">Limits!L90</f>
        <v/>
      </c>
      <c r="K18" s="114" t="str">
        <f ca="1">Limits!M90</f>
        <v/>
      </c>
      <c r="L18" s="114"/>
      <c r="M18" s="114" t="str">
        <f ca="1">Limits!N90</f>
        <v/>
      </c>
      <c r="N18" s="114" t="str">
        <f ca="1">Limits!O90</f>
        <v/>
      </c>
      <c r="O18" s="114" t="str">
        <f ca="1">IF(Limits!P90&lt;&gt;0,Limits!P90,"")</f>
        <v/>
      </c>
      <c r="P18" s="114" t="str">
        <f ca="1">IF(Limits!Q90&lt;&gt;0,Limits!Q90,"")</f>
        <v/>
      </c>
    </row>
    <row r="19" spans="2:16" x14ac:dyDescent="0.25">
      <c r="B19" s="114" t="str">
        <f ca="1">Limits!B91</f>
        <v/>
      </c>
      <c r="C19" s="114" t="str">
        <f ca="1">Limits!D91</f>
        <v/>
      </c>
      <c r="D19" s="114" t="str">
        <f ca="1">Limits!E91</f>
        <v/>
      </c>
      <c r="E19" s="114" t="str">
        <f ca="1">Limits!F91</f>
        <v/>
      </c>
      <c r="F19" s="114" t="str">
        <f ca="1">Limits!H91</f>
        <v/>
      </c>
      <c r="G19" s="114" t="str">
        <f ca="1">Limits!J91</f>
        <v/>
      </c>
      <c r="H19" s="114" t="str">
        <f ca="1">Limits!K91</f>
        <v/>
      </c>
      <c r="I19" s="114"/>
      <c r="J19" s="114" t="str">
        <f ca="1">Limits!L91</f>
        <v/>
      </c>
      <c r="K19" s="114" t="str">
        <f ca="1">Limits!M91</f>
        <v/>
      </c>
      <c r="L19" s="114"/>
      <c r="M19" s="114" t="str">
        <f ca="1">Limits!N91</f>
        <v/>
      </c>
      <c r="N19" s="114" t="str">
        <f ca="1">Limits!O91</f>
        <v/>
      </c>
      <c r="O19" s="114" t="str">
        <f ca="1">IF(Limits!P91&lt;&gt;0,Limits!P91,"")</f>
        <v/>
      </c>
      <c r="P19" s="114" t="str">
        <f ca="1">IF(Limits!Q91&lt;&gt;0,Limits!Q91,"")</f>
        <v/>
      </c>
    </row>
    <row r="20" spans="2:16" x14ac:dyDescent="0.25">
      <c r="B20" s="114" t="str">
        <f ca="1">Limits!B92</f>
        <v/>
      </c>
      <c r="C20" s="114" t="str">
        <f ca="1">Limits!D92</f>
        <v/>
      </c>
      <c r="D20" s="114" t="str">
        <f ca="1">Limits!E92</f>
        <v/>
      </c>
      <c r="E20" s="114" t="str">
        <f ca="1">Limits!F92</f>
        <v/>
      </c>
      <c r="F20" s="114" t="str">
        <f ca="1">Limits!H92</f>
        <v/>
      </c>
      <c r="G20" s="114" t="str">
        <f ca="1">Limits!J92</f>
        <v/>
      </c>
      <c r="H20" s="114" t="str">
        <f ca="1">Limits!K92</f>
        <v/>
      </c>
      <c r="I20" s="114"/>
      <c r="J20" s="114" t="str">
        <f ca="1">Limits!L92</f>
        <v/>
      </c>
      <c r="K20" s="114" t="str">
        <f ca="1">Limits!M92</f>
        <v/>
      </c>
      <c r="L20" s="114"/>
      <c r="M20" s="114" t="str">
        <f ca="1">Limits!N92</f>
        <v/>
      </c>
      <c r="N20" s="114" t="str">
        <f ca="1">Limits!O92</f>
        <v/>
      </c>
      <c r="O20" s="114" t="str">
        <f ca="1">IF(Limits!P92&lt;&gt;0,Limits!P92,"")</f>
        <v/>
      </c>
      <c r="P20" s="114" t="str">
        <f ca="1">IF(Limits!Q92&lt;&gt;0,Limits!Q92,"")</f>
        <v/>
      </c>
    </row>
    <row r="21" spans="2:16" x14ac:dyDescent="0.25">
      <c r="B21" s="114" t="str">
        <f ca="1">Limits!B93</f>
        <v/>
      </c>
      <c r="C21" s="114" t="str">
        <f ca="1">Limits!D93</f>
        <v/>
      </c>
      <c r="D21" s="114" t="str">
        <f ca="1">Limits!E93</f>
        <v/>
      </c>
      <c r="E21" s="114" t="str">
        <f ca="1">Limits!F93</f>
        <v/>
      </c>
      <c r="F21" s="114" t="str">
        <f ca="1">Limits!H93</f>
        <v/>
      </c>
      <c r="G21" s="114" t="str">
        <f ca="1">Limits!J93</f>
        <v/>
      </c>
      <c r="H21" s="114" t="str">
        <f ca="1">Limits!K93</f>
        <v/>
      </c>
      <c r="I21" s="114"/>
      <c r="J21" s="114" t="str">
        <f ca="1">Limits!L93</f>
        <v/>
      </c>
      <c r="K21" s="114" t="str">
        <f ca="1">Limits!M93</f>
        <v/>
      </c>
      <c r="L21" s="114"/>
      <c r="M21" s="114" t="str">
        <f ca="1">Limits!N93</f>
        <v/>
      </c>
      <c r="N21" s="114" t="str">
        <f ca="1">Limits!O93</f>
        <v/>
      </c>
      <c r="O21" s="114" t="str">
        <f ca="1">IF(Limits!P93&lt;&gt;0,Limits!P93,"")</f>
        <v/>
      </c>
      <c r="P21" s="114" t="str">
        <f ca="1">IF(Limits!Q93&lt;&gt;0,Limits!Q93,"")</f>
        <v/>
      </c>
    </row>
    <row r="22" spans="2:16" x14ac:dyDescent="0.25">
      <c r="B22" s="114" t="str">
        <f ca="1">Limits!B94</f>
        <v/>
      </c>
      <c r="C22" s="114" t="str">
        <f ca="1">Limits!D94</f>
        <v/>
      </c>
      <c r="D22" s="114" t="str">
        <f ca="1">Limits!E94</f>
        <v/>
      </c>
      <c r="E22" s="114" t="str">
        <f ca="1">Limits!F94</f>
        <v/>
      </c>
      <c r="F22" s="114" t="str">
        <f ca="1">Limits!H94</f>
        <v/>
      </c>
      <c r="G22" s="114" t="str">
        <f ca="1">Limits!J94</f>
        <v/>
      </c>
      <c r="H22" s="114" t="str">
        <f ca="1">Limits!K94</f>
        <v/>
      </c>
      <c r="I22" s="114"/>
      <c r="J22" s="114" t="str">
        <f ca="1">Limits!L94</f>
        <v/>
      </c>
      <c r="K22" s="114" t="str">
        <f ca="1">Limits!M94</f>
        <v/>
      </c>
      <c r="L22" s="114"/>
      <c r="M22" s="114" t="str">
        <f ca="1">Limits!N94</f>
        <v/>
      </c>
      <c r="N22" s="114" t="str">
        <f ca="1">Limits!O94</f>
        <v/>
      </c>
      <c r="O22" s="114" t="str">
        <f ca="1">IF(Limits!P94&lt;&gt;0,Limits!P94,"")</f>
        <v/>
      </c>
      <c r="P22" s="114" t="str">
        <f ca="1">IF(Limits!Q94&lt;&gt;0,Limits!Q94,"")</f>
        <v/>
      </c>
    </row>
    <row r="23" spans="2:16" x14ac:dyDescent="0.25">
      <c r="B23" s="114" t="str">
        <f ca="1">Limits!B95</f>
        <v/>
      </c>
      <c r="C23" s="114" t="str">
        <f ca="1">Limits!D95</f>
        <v/>
      </c>
      <c r="D23" s="114" t="str">
        <f ca="1">Limits!E95</f>
        <v/>
      </c>
      <c r="E23" s="114" t="str">
        <f ca="1">Limits!F95</f>
        <v/>
      </c>
      <c r="F23" s="114" t="str">
        <f ca="1">Limits!H95</f>
        <v/>
      </c>
      <c r="G23" s="114" t="str">
        <f ca="1">Limits!J95</f>
        <v/>
      </c>
      <c r="H23" s="114" t="str">
        <f ca="1">Limits!K95</f>
        <v/>
      </c>
      <c r="I23" s="114"/>
      <c r="J23" s="114" t="str">
        <f ca="1">Limits!L95</f>
        <v/>
      </c>
      <c r="K23" s="114" t="str">
        <f ca="1">Limits!M95</f>
        <v/>
      </c>
      <c r="L23" s="114"/>
      <c r="M23" s="114" t="str">
        <f ca="1">Limits!N95</f>
        <v/>
      </c>
      <c r="N23" s="114" t="str">
        <f ca="1">Limits!O95</f>
        <v/>
      </c>
      <c r="O23" s="114" t="str">
        <f ca="1">IF(Limits!P95&lt;&gt;0,Limits!P95,"")</f>
        <v/>
      </c>
      <c r="P23" s="114" t="str">
        <f ca="1">IF(Limits!Q95&lt;&gt;0,Limits!Q95,"")</f>
        <v/>
      </c>
    </row>
    <row r="24" spans="2:16" x14ac:dyDescent="0.25">
      <c r="B24" s="114" t="str">
        <f ca="1">Limits!B96</f>
        <v/>
      </c>
      <c r="C24" s="114" t="str">
        <f ca="1">Limits!D96</f>
        <v/>
      </c>
      <c r="D24" s="114" t="str">
        <f ca="1">Limits!E96</f>
        <v/>
      </c>
      <c r="E24" s="114" t="str">
        <f ca="1">Limits!F96</f>
        <v/>
      </c>
      <c r="F24" s="114" t="str">
        <f ca="1">Limits!H96</f>
        <v/>
      </c>
      <c r="G24" s="114" t="str">
        <f ca="1">Limits!J96</f>
        <v/>
      </c>
      <c r="H24" s="114" t="str">
        <f ca="1">Limits!K96</f>
        <v/>
      </c>
      <c r="I24" s="114"/>
      <c r="J24" s="114" t="str">
        <f ca="1">Limits!L96</f>
        <v/>
      </c>
      <c r="K24" s="114" t="str">
        <f ca="1">Limits!M96</f>
        <v/>
      </c>
      <c r="L24" s="114"/>
      <c r="M24" s="114" t="str">
        <f ca="1">Limits!N96</f>
        <v/>
      </c>
      <c r="N24" s="114" t="str">
        <f ca="1">Limits!O96</f>
        <v/>
      </c>
      <c r="O24" s="114" t="str">
        <f ca="1">IF(Limits!P96&lt;&gt;0,Limits!P96,"")</f>
        <v/>
      </c>
      <c r="P24" s="114" t="str">
        <f ca="1">IF(Limits!Q96&lt;&gt;0,Limits!Q96,"")</f>
        <v/>
      </c>
    </row>
    <row r="25" spans="2:16" x14ac:dyDescent="0.25">
      <c r="B25" s="114" t="str">
        <f ca="1">Limits!B97</f>
        <v/>
      </c>
      <c r="C25" s="114" t="str">
        <f ca="1">Limits!D97</f>
        <v/>
      </c>
      <c r="D25" s="114" t="str">
        <f ca="1">Limits!E97</f>
        <v/>
      </c>
      <c r="E25" s="114" t="str">
        <f ca="1">Limits!F97</f>
        <v/>
      </c>
      <c r="F25" s="114" t="str">
        <f ca="1">Limits!H97</f>
        <v/>
      </c>
      <c r="G25" s="114" t="str">
        <f ca="1">Limits!J97</f>
        <v/>
      </c>
      <c r="H25" s="114" t="str">
        <f ca="1">Limits!K97</f>
        <v/>
      </c>
      <c r="I25" s="114"/>
      <c r="J25" s="114" t="str">
        <f ca="1">Limits!L97</f>
        <v/>
      </c>
      <c r="K25" s="114" t="str">
        <f ca="1">Limits!M97</f>
        <v/>
      </c>
      <c r="L25" s="114"/>
      <c r="M25" s="114" t="str">
        <f ca="1">Limits!N97</f>
        <v/>
      </c>
      <c r="N25" s="114" t="str">
        <f ca="1">Limits!O97</f>
        <v/>
      </c>
      <c r="O25" s="114" t="str">
        <f ca="1">IF(Limits!P97&lt;&gt;0,Limits!P97,"")</f>
        <v/>
      </c>
      <c r="P25" s="114" t="str">
        <f ca="1">IF(Limits!Q97&lt;&gt;0,Limits!Q97,"")</f>
        <v/>
      </c>
    </row>
    <row r="26" spans="2:16" x14ac:dyDescent="0.25">
      <c r="B26" s="114" t="str">
        <f ca="1">Limits!B98</f>
        <v/>
      </c>
      <c r="C26" s="114" t="str">
        <f ca="1">Limits!D98</f>
        <v/>
      </c>
      <c r="D26" s="114" t="str">
        <f ca="1">Limits!E98</f>
        <v/>
      </c>
      <c r="E26" s="114" t="str">
        <f ca="1">Limits!F98</f>
        <v/>
      </c>
      <c r="F26" s="114" t="str">
        <f ca="1">Limits!H98</f>
        <v/>
      </c>
      <c r="G26" s="114" t="str">
        <f ca="1">Limits!J98</f>
        <v/>
      </c>
      <c r="H26" s="114" t="str">
        <f ca="1">Limits!K98</f>
        <v/>
      </c>
      <c r="I26" s="114"/>
      <c r="J26" s="114" t="str">
        <f ca="1">Limits!L98</f>
        <v/>
      </c>
      <c r="K26" s="114" t="str">
        <f ca="1">Limits!M98</f>
        <v/>
      </c>
      <c r="L26" s="114"/>
      <c r="M26" s="114" t="str">
        <f ca="1">Limits!N98</f>
        <v/>
      </c>
      <c r="N26" s="114" t="str">
        <f ca="1">Limits!O98</f>
        <v/>
      </c>
      <c r="O26" s="114" t="str">
        <f ca="1">IF(Limits!P98&lt;&gt;0,Limits!P98,"")</f>
        <v/>
      </c>
      <c r="P26" s="114" t="str">
        <f ca="1">IF(Limits!Q98&lt;&gt;0,Limits!Q98,"")</f>
        <v/>
      </c>
    </row>
    <row r="27" spans="2:16" x14ac:dyDescent="0.25">
      <c r="B27" s="114" t="str">
        <f ca="1">Limits!B99</f>
        <v/>
      </c>
      <c r="C27" s="114" t="str">
        <f ca="1">Limits!D99</f>
        <v/>
      </c>
      <c r="D27" s="114" t="str">
        <f ca="1">Limits!E99</f>
        <v/>
      </c>
      <c r="E27" s="114" t="str">
        <f ca="1">Limits!F99</f>
        <v/>
      </c>
      <c r="F27" s="114" t="str">
        <f ca="1">Limits!H99</f>
        <v/>
      </c>
      <c r="G27" s="114" t="str">
        <f ca="1">Limits!J99</f>
        <v/>
      </c>
      <c r="H27" s="114" t="str">
        <f ca="1">Limits!K99</f>
        <v/>
      </c>
      <c r="I27" s="114"/>
      <c r="J27" s="114" t="str">
        <f ca="1">Limits!L99</f>
        <v/>
      </c>
      <c r="K27" s="114" t="str">
        <f ca="1">Limits!M99</f>
        <v/>
      </c>
      <c r="L27" s="114"/>
      <c r="M27" s="114" t="str">
        <f ca="1">Limits!N99</f>
        <v/>
      </c>
      <c r="N27" s="114" t="str">
        <f ca="1">Limits!O99</f>
        <v/>
      </c>
      <c r="O27" s="114" t="str">
        <f ca="1">IF(Limits!P99&lt;&gt;0,Limits!P99,"")</f>
        <v/>
      </c>
      <c r="P27" s="114" t="str">
        <f ca="1">IF(Limits!Q99&lt;&gt;0,Limits!Q99,"")</f>
        <v/>
      </c>
    </row>
    <row r="28" spans="2:16" x14ac:dyDescent="0.25">
      <c r="B28" s="114" t="str">
        <f ca="1">Limits!B100</f>
        <v/>
      </c>
      <c r="C28" s="114" t="str">
        <f ca="1">Limits!D100</f>
        <v/>
      </c>
      <c r="D28" s="114" t="str">
        <f ca="1">Limits!E100</f>
        <v/>
      </c>
      <c r="E28" s="114" t="str">
        <f ca="1">Limits!F100</f>
        <v/>
      </c>
      <c r="F28" s="114" t="str">
        <f ca="1">Limits!H100</f>
        <v/>
      </c>
      <c r="G28" s="114" t="str">
        <f ca="1">Limits!J100</f>
        <v/>
      </c>
      <c r="H28" s="114" t="str">
        <f ca="1">Limits!K100</f>
        <v/>
      </c>
      <c r="I28" s="114"/>
      <c r="J28" s="114" t="str">
        <f ca="1">Limits!L100</f>
        <v/>
      </c>
      <c r="K28" s="114" t="str">
        <f ca="1">Limits!M100</f>
        <v/>
      </c>
      <c r="L28" s="114"/>
      <c r="M28" s="114" t="str">
        <f ca="1">Limits!N100</f>
        <v/>
      </c>
      <c r="N28" s="114" t="str">
        <f ca="1">Limits!O100</f>
        <v/>
      </c>
      <c r="O28" s="114" t="str">
        <f ca="1">IF(Limits!P100&lt;&gt;0,Limits!P100,"")</f>
        <v/>
      </c>
      <c r="P28" s="114" t="str">
        <f ca="1">IF(Limits!Q100&lt;&gt;0,Limits!Q100,"")</f>
        <v/>
      </c>
    </row>
    <row r="29" spans="2:16" x14ac:dyDescent="0.25">
      <c r="B29" s="114" t="str">
        <f ca="1">Limits!B101</f>
        <v/>
      </c>
      <c r="C29" s="114" t="str">
        <f ca="1">Limits!D101</f>
        <v/>
      </c>
      <c r="D29" s="114" t="str">
        <f ca="1">Limits!E101</f>
        <v/>
      </c>
      <c r="E29" s="114" t="str">
        <f ca="1">Limits!F101</f>
        <v/>
      </c>
      <c r="F29" s="114" t="str">
        <f ca="1">Limits!H101</f>
        <v/>
      </c>
      <c r="G29" s="114" t="str">
        <f ca="1">Limits!J101</f>
        <v/>
      </c>
      <c r="H29" s="114" t="str">
        <f ca="1">Limits!K101</f>
        <v/>
      </c>
      <c r="I29" s="114"/>
      <c r="J29" s="114" t="str">
        <f ca="1">Limits!L101</f>
        <v/>
      </c>
      <c r="K29" s="114" t="str">
        <f ca="1">Limits!M101</f>
        <v/>
      </c>
      <c r="L29" s="114"/>
      <c r="M29" s="114" t="str">
        <f ca="1">Limits!N101</f>
        <v/>
      </c>
      <c r="N29" s="114" t="str">
        <f ca="1">Limits!O101</f>
        <v/>
      </c>
      <c r="O29" s="114" t="str">
        <f ca="1">IF(Limits!P101&lt;&gt;0,Limits!P101,"")</f>
        <v/>
      </c>
      <c r="P29" s="114" t="str">
        <f ca="1">IF(Limits!Q101&lt;&gt;0,Limits!Q101,"")</f>
        <v/>
      </c>
    </row>
    <row r="30" spans="2:16" x14ac:dyDescent="0.25">
      <c r="B30" s="114" t="str">
        <f ca="1">Limits!B102</f>
        <v/>
      </c>
      <c r="C30" s="114" t="str">
        <f ca="1">Limits!D102</f>
        <v/>
      </c>
      <c r="D30" s="114" t="str">
        <f ca="1">Limits!E102</f>
        <v/>
      </c>
      <c r="E30" s="114" t="str">
        <f ca="1">Limits!F102</f>
        <v/>
      </c>
      <c r="F30" s="114" t="str">
        <f ca="1">Limits!H102</f>
        <v/>
      </c>
      <c r="G30" s="114" t="str">
        <f ca="1">Limits!J102</f>
        <v/>
      </c>
      <c r="H30" s="114" t="str">
        <f ca="1">Limits!K102</f>
        <v/>
      </c>
      <c r="I30" s="114"/>
      <c r="J30" s="114" t="str">
        <f ca="1">Limits!L102</f>
        <v/>
      </c>
      <c r="K30" s="114" t="str">
        <f ca="1">Limits!M102</f>
        <v/>
      </c>
      <c r="L30" s="114"/>
      <c r="M30" s="114" t="str">
        <f ca="1">Limits!N102</f>
        <v/>
      </c>
      <c r="N30" s="114" t="str">
        <f ca="1">Limits!O102</f>
        <v/>
      </c>
      <c r="O30" s="114" t="str">
        <f ca="1">IF(Limits!P102&lt;&gt;0,Limits!P102,"")</f>
        <v/>
      </c>
      <c r="P30" s="114" t="str">
        <f ca="1">IF(Limits!Q102&lt;&gt;0,Limits!Q102,"")</f>
        <v/>
      </c>
    </row>
    <row r="31" spans="2:16" x14ac:dyDescent="0.25">
      <c r="B31" s="114" t="str">
        <f ca="1">Limits!B103</f>
        <v/>
      </c>
      <c r="C31" s="114" t="str">
        <f ca="1">Limits!D103</f>
        <v/>
      </c>
      <c r="D31" s="114" t="str">
        <f ca="1">Limits!E103</f>
        <v/>
      </c>
      <c r="E31" s="114" t="str">
        <f ca="1">Limits!F103</f>
        <v/>
      </c>
      <c r="F31" s="114" t="str">
        <f ca="1">Limits!H103</f>
        <v/>
      </c>
      <c r="G31" s="114" t="str">
        <f ca="1">Limits!J103</f>
        <v/>
      </c>
      <c r="H31" s="114" t="str">
        <f ca="1">Limits!K103</f>
        <v/>
      </c>
      <c r="I31" s="114"/>
      <c r="J31" s="114" t="str">
        <f ca="1">Limits!L103</f>
        <v/>
      </c>
      <c r="K31" s="114" t="str">
        <f ca="1">Limits!M103</f>
        <v/>
      </c>
      <c r="L31" s="114"/>
      <c r="M31" s="114" t="str">
        <f ca="1">Limits!N103</f>
        <v/>
      </c>
      <c r="N31" s="114" t="str">
        <f ca="1">Limits!O103</f>
        <v/>
      </c>
      <c r="O31" s="114" t="str">
        <f ca="1">IF(Limits!P103&lt;&gt;0,Limits!P103,"")</f>
        <v/>
      </c>
      <c r="P31" s="114" t="str">
        <f ca="1">IF(Limits!Q103&lt;&gt;0,Limits!Q103,"")</f>
        <v/>
      </c>
    </row>
    <row r="32" spans="2:16" x14ac:dyDescent="0.25">
      <c r="B32" s="114" t="str">
        <f ca="1">Limits!B104</f>
        <v/>
      </c>
      <c r="C32" s="114" t="str">
        <f ca="1">Limits!D104</f>
        <v/>
      </c>
      <c r="D32" s="114" t="str">
        <f ca="1">Limits!E104</f>
        <v/>
      </c>
      <c r="E32" s="114" t="str">
        <f ca="1">Limits!F104</f>
        <v/>
      </c>
      <c r="F32" s="114" t="str">
        <f ca="1">Limits!H104</f>
        <v/>
      </c>
      <c r="G32" s="114" t="str">
        <f ca="1">Limits!J104</f>
        <v/>
      </c>
      <c r="H32" s="114" t="str">
        <f ca="1">Limits!K104</f>
        <v/>
      </c>
      <c r="I32" s="114"/>
      <c r="J32" s="114" t="str">
        <f ca="1">Limits!L104</f>
        <v/>
      </c>
      <c r="K32" s="114" t="str">
        <f ca="1">Limits!M104</f>
        <v/>
      </c>
      <c r="L32" s="114"/>
      <c r="M32" s="114" t="str">
        <f ca="1">Limits!N104</f>
        <v/>
      </c>
      <c r="N32" s="114" t="str">
        <f ca="1">Limits!O104</f>
        <v/>
      </c>
      <c r="O32" s="114" t="str">
        <f ca="1">IF(Limits!P104&lt;&gt;0,Limits!P104,"")</f>
        <v/>
      </c>
      <c r="P32" s="114" t="str">
        <f ca="1">IF(Limits!Q104&lt;&gt;0,Limits!Q104,"")</f>
        <v/>
      </c>
    </row>
    <row r="33" spans="2:16" x14ac:dyDescent="0.25">
      <c r="B33" s="114" t="str">
        <f ca="1">Limits!B105</f>
        <v/>
      </c>
      <c r="C33" s="114" t="str">
        <f ca="1">Limits!D105</f>
        <v/>
      </c>
      <c r="D33" s="114" t="str">
        <f ca="1">Limits!E105</f>
        <v/>
      </c>
      <c r="E33" s="114" t="str">
        <f ca="1">Limits!F105</f>
        <v/>
      </c>
      <c r="F33" s="114" t="str">
        <f ca="1">Limits!H105</f>
        <v/>
      </c>
      <c r="G33" s="114" t="str">
        <f ca="1">Limits!J105</f>
        <v/>
      </c>
      <c r="H33" s="114" t="str">
        <f ca="1">Limits!K105</f>
        <v/>
      </c>
      <c r="I33" s="114"/>
      <c r="J33" s="114" t="str">
        <f ca="1">Limits!L105</f>
        <v/>
      </c>
      <c r="K33" s="114" t="str">
        <f ca="1">Limits!M105</f>
        <v/>
      </c>
      <c r="L33" s="114"/>
      <c r="M33" s="114" t="str">
        <f ca="1">Limits!N105</f>
        <v/>
      </c>
      <c r="N33" s="114" t="str">
        <f ca="1">Limits!O105</f>
        <v/>
      </c>
      <c r="O33" s="114" t="str">
        <f ca="1">IF(Limits!P105&lt;&gt;0,Limits!P105,"")</f>
        <v/>
      </c>
      <c r="P33" s="114" t="str">
        <f ca="1">IF(Limits!Q105&lt;&gt;0,Limits!Q105,"")</f>
        <v/>
      </c>
    </row>
    <row r="34" spans="2:16" x14ac:dyDescent="0.25">
      <c r="B34" s="114" t="str">
        <f ca="1">Limits!B106</f>
        <v/>
      </c>
      <c r="C34" s="114" t="str">
        <f ca="1">Limits!D106</f>
        <v/>
      </c>
      <c r="D34" s="114" t="str">
        <f ca="1">Limits!E106</f>
        <v/>
      </c>
      <c r="E34" s="114" t="str">
        <f ca="1">Limits!F106</f>
        <v/>
      </c>
      <c r="F34" s="114" t="str">
        <f ca="1">Limits!H106</f>
        <v/>
      </c>
      <c r="G34" s="114" t="str">
        <f ca="1">Limits!J106</f>
        <v/>
      </c>
      <c r="H34" s="114" t="str">
        <f ca="1">Limits!K106</f>
        <v/>
      </c>
      <c r="I34" s="114"/>
      <c r="J34" s="114" t="str">
        <f ca="1">Limits!L106</f>
        <v/>
      </c>
      <c r="K34" s="114" t="str">
        <f ca="1">Limits!M106</f>
        <v/>
      </c>
      <c r="L34" s="114"/>
      <c r="M34" s="114" t="str">
        <f ca="1">Limits!N106</f>
        <v/>
      </c>
      <c r="N34" s="114" t="str">
        <f ca="1">Limits!O106</f>
        <v/>
      </c>
      <c r="O34" s="114" t="str">
        <f ca="1">IF(Limits!P106&lt;&gt;0,Limits!P106,"")</f>
        <v/>
      </c>
      <c r="P34" s="114" t="str">
        <f ca="1">IF(Limits!Q106&lt;&gt;0,Limits!Q106,"")</f>
        <v/>
      </c>
    </row>
    <row r="35" spans="2:16" x14ac:dyDescent="0.25">
      <c r="B35" s="114" t="str">
        <f ca="1">Limits!B107</f>
        <v/>
      </c>
      <c r="C35" s="114" t="str">
        <f ca="1">Limits!D107</f>
        <v/>
      </c>
      <c r="D35" s="114" t="str">
        <f ca="1">Limits!E107</f>
        <v/>
      </c>
      <c r="E35" s="114" t="str">
        <f ca="1">Limits!F107</f>
        <v/>
      </c>
      <c r="F35" s="114" t="str">
        <f ca="1">Limits!H107</f>
        <v/>
      </c>
      <c r="G35" s="114" t="str">
        <f ca="1">Limits!J107</f>
        <v/>
      </c>
      <c r="H35" s="114" t="str">
        <f ca="1">Limits!K107</f>
        <v/>
      </c>
      <c r="I35" s="114"/>
      <c r="J35" s="114" t="str">
        <f ca="1">Limits!L107</f>
        <v/>
      </c>
      <c r="K35" s="114" t="str">
        <f ca="1">Limits!M107</f>
        <v/>
      </c>
      <c r="L35" s="114"/>
      <c r="M35" s="114" t="str">
        <f ca="1">Limits!N107</f>
        <v/>
      </c>
      <c r="N35" s="114" t="str">
        <f ca="1">Limits!O107</f>
        <v/>
      </c>
      <c r="O35" s="114" t="str">
        <f ca="1">IF(Limits!P107&lt;&gt;0,Limits!P107,"")</f>
        <v/>
      </c>
      <c r="P35" s="114" t="str">
        <f ca="1">IF(Limits!Q107&lt;&gt;0,Limits!Q107,"")</f>
        <v/>
      </c>
    </row>
    <row r="36" spans="2:16" x14ac:dyDescent="0.25">
      <c r="B36" s="114" t="str">
        <f ca="1">Limits!B108</f>
        <v/>
      </c>
      <c r="C36" s="114" t="str">
        <f ca="1">Limits!D108</f>
        <v/>
      </c>
      <c r="D36" s="114" t="str">
        <f ca="1">Limits!E108</f>
        <v/>
      </c>
      <c r="E36" s="114" t="str">
        <f ca="1">Limits!F108</f>
        <v/>
      </c>
      <c r="F36" s="114" t="str">
        <f ca="1">Limits!H108</f>
        <v/>
      </c>
      <c r="G36" s="114" t="str">
        <f ca="1">Limits!J108</f>
        <v/>
      </c>
      <c r="H36" s="114" t="str">
        <f ca="1">Limits!K108</f>
        <v/>
      </c>
      <c r="I36" s="114"/>
      <c r="J36" s="114" t="str">
        <f ca="1">Limits!L108</f>
        <v/>
      </c>
      <c r="K36" s="114" t="str">
        <f ca="1">Limits!M108</f>
        <v/>
      </c>
      <c r="L36" s="114"/>
      <c r="M36" s="114" t="str">
        <f ca="1">Limits!N108</f>
        <v/>
      </c>
      <c r="N36" s="114" t="str">
        <f ca="1">Limits!O108</f>
        <v/>
      </c>
      <c r="O36" s="114" t="str">
        <f ca="1">IF(Limits!P108&lt;&gt;0,Limits!P108,"")</f>
        <v/>
      </c>
      <c r="P36" s="114" t="str">
        <f ca="1">IF(Limits!Q108&lt;&gt;0,Limits!Q108,"")</f>
        <v/>
      </c>
    </row>
    <row r="37" spans="2:16" x14ac:dyDescent="0.25">
      <c r="B37" s="114" t="str">
        <f ca="1">Limits!B109</f>
        <v/>
      </c>
      <c r="C37" s="114" t="str">
        <f ca="1">Limits!D109</f>
        <v/>
      </c>
      <c r="D37" s="114" t="str">
        <f ca="1">Limits!E109</f>
        <v/>
      </c>
      <c r="E37" s="114" t="str">
        <f ca="1">Limits!F109</f>
        <v/>
      </c>
      <c r="F37" s="114" t="str">
        <f ca="1">Limits!H109</f>
        <v/>
      </c>
      <c r="G37" s="114" t="str">
        <f ca="1">Limits!J109</f>
        <v/>
      </c>
      <c r="H37" s="114" t="str">
        <f ca="1">Limits!K109</f>
        <v/>
      </c>
      <c r="I37" s="114"/>
      <c r="J37" s="114" t="str">
        <f ca="1">Limits!L109</f>
        <v/>
      </c>
      <c r="K37" s="114" t="str">
        <f ca="1">Limits!M109</f>
        <v/>
      </c>
      <c r="L37" s="114"/>
      <c r="M37" s="114" t="str">
        <f ca="1">Limits!N109</f>
        <v/>
      </c>
      <c r="N37" s="114" t="str">
        <f ca="1">Limits!O109</f>
        <v/>
      </c>
      <c r="O37" s="114" t="str">
        <f ca="1">IF(Limits!P109&lt;&gt;0,Limits!P109,"")</f>
        <v/>
      </c>
      <c r="P37" s="114" t="str">
        <f ca="1">IF(Limits!Q109&lt;&gt;0,Limits!Q109,"")</f>
        <v/>
      </c>
    </row>
    <row r="38" spans="2:16" x14ac:dyDescent="0.25">
      <c r="B38" s="114" t="str">
        <f ca="1">Limits!B110</f>
        <v/>
      </c>
      <c r="C38" s="114" t="str">
        <f ca="1">Limits!D110</f>
        <v/>
      </c>
      <c r="D38" s="114" t="str">
        <f ca="1">Limits!E110</f>
        <v/>
      </c>
      <c r="E38" s="114" t="str">
        <f ca="1">Limits!F110</f>
        <v/>
      </c>
      <c r="F38" s="114" t="str">
        <f ca="1">Limits!H110</f>
        <v/>
      </c>
      <c r="G38" s="114" t="str">
        <f ca="1">Limits!J110</f>
        <v/>
      </c>
      <c r="H38" s="114" t="str">
        <f ca="1">Limits!K110</f>
        <v/>
      </c>
      <c r="I38" s="114"/>
      <c r="J38" s="114" t="str">
        <f ca="1">Limits!L110</f>
        <v/>
      </c>
      <c r="K38" s="114" t="str">
        <f ca="1">Limits!M110</f>
        <v/>
      </c>
      <c r="L38" s="114"/>
      <c r="M38" s="114" t="str">
        <f ca="1">Limits!N110</f>
        <v/>
      </c>
      <c r="N38" s="114" t="str">
        <f ca="1">Limits!O110</f>
        <v/>
      </c>
      <c r="O38" s="114" t="str">
        <f ca="1">IF(Limits!P110&lt;&gt;0,Limits!P110,"")</f>
        <v/>
      </c>
      <c r="P38" s="114" t="str">
        <f ca="1">IF(Limits!Q110&lt;&gt;0,Limits!Q110,"")</f>
        <v/>
      </c>
    </row>
    <row r="39" spans="2:16" x14ac:dyDescent="0.25">
      <c r="B39" s="114" t="str">
        <f ca="1">Limits!B111</f>
        <v/>
      </c>
      <c r="C39" s="114" t="str">
        <f ca="1">Limits!D111</f>
        <v/>
      </c>
      <c r="D39" s="114" t="str">
        <f ca="1">Limits!E111</f>
        <v/>
      </c>
      <c r="E39" s="114" t="str">
        <f ca="1">Limits!F111</f>
        <v/>
      </c>
      <c r="F39" s="114" t="str">
        <f ca="1">Limits!H111</f>
        <v/>
      </c>
      <c r="G39" s="114" t="str">
        <f ca="1">Limits!J111</f>
        <v/>
      </c>
      <c r="H39" s="114" t="str">
        <f ca="1">Limits!K111</f>
        <v/>
      </c>
      <c r="I39" s="114"/>
      <c r="J39" s="114" t="str">
        <f ca="1">Limits!L111</f>
        <v/>
      </c>
      <c r="K39" s="114" t="str">
        <f ca="1">Limits!M111</f>
        <v/>
      </c>
      <c r="L39" s="114"/>
      <c r="M39" s="114" t="str">
        <f ca="1">Limits!N111</f>
        <v/>
      </c>
      <c r="N39" s="114" t="str">
        <f ca="1">Limits!O111</f>
        <v/>
      </c>
      <c r="O39" s="114" t="str">
        <f ca="1">IF(Limits!P111&lt;&gt;0,Limits!P111,"")</f>
        <v/>
      </c>
      <c r="P39" s="114" t="str">
        <f ca="1">IF(Limits!Q111&lt;&gt;0,Limits!Q111,"")</f>
        <v/>
      </c>
    </row>
    <row r="40" spans="2:16" x14ac:dyDescent="0.25">
      <c r="B40" s="114" t="str">
        <f ca="1">Limits!B112</f>
        <v/>
      </c>
      <c r="C40" s="114" t="str">
        <f ca="1">Limits!D112</f>
        <v/>
      </c>
      <c r="D40" s="114" t="str">
        <f ca="1">Limits!E112</f>
        <v/>
      </c>
      <c r="E40" s="114" t="str">
        <f ca="1">Limits!F112</f>
        <v/>
      </c>
      <c r="F40" s="114" t="str">
        <f ca="1">Limits!H112</f>
        <v/>
      </c>
      <c r="G40" s="114" t="str">
        <f ca="1">Limits!J112</f>
        <v/>
      </c>
      <c r="H40" s="114" t="str">
        <f ca="1">Limits!K112</f>
        <v/>
      </c>
      <c r="I40" s="114"/>
      <c r="J40" s="114" t="str">
        <f ca="1">Limits!L112</f>
        <v/>
      </c>
      <c r="K40" s="114" t="str">
        <f ca="1">Limits!M112</f>
        <v/>
      </c>
      <c r="L40" s="114"/>
      <c r="M40" s="114" t="str">
        <f ca="1">Limits!N112</f>
        <v/>
      </c>
      <c r="N40" s="114" t="str">
        <f ca="1">Limits!O112</f>
        <v/>
      </c>
      <c r="O40" s="114" t="str">
        <f ca="1">IF(Limits!P112&lt;&gt;0,Limits!P112,"")</f>
        <v/>
      </c>
      <c r="P40" s="114" t="str">
        <f ca="1">IF(Limits!Q112&lt;&gt;0,Limits!Q112,"")</f>
        <v/>
      </c>
    </row>
    <row r="41" spans="2:16" x14ac:dyDescent="0.25">
      <c r="B41" s="114" t="str">
        <f ca="1">Limits!B113</f>
        <v/>
      </c>
      <c r="C41" s="114" t="str">
        <f ca="1">Limits!D113</f>
        <v/>
      </c>
      <c r="D41" s="114" t="str">
        <f ca="1">Limits!E113</f>
        <v/>
      </c>
      <c r="E41" s="114" t="str">
        <f ca="1">Limits!F113</f>
        <v/>
      </c>
      <c r="F41" s="114" t="str">
        <f ca="1">Limits!H113</f>
        <v/>
      </c>
      <c r="G41" s="114" t="str">
        <f ca="1">Limits!J113</f>
        <v/>
      </c>
      <c r="H41" s="114" t="str">
        <f ca="1">Limits!K113</f>
        <v/>
      </c>
      <c r="I41" s="114"/>
      <c r="J41" s="114" t="str">
        <f ca="1">Limits!L113</f>
        <v/>
      </c>
      <c r="K41" s="114" t="str">
        <f ca="1">Limits!M113</f>
        <v/>
      </c>
      <c r="L41" s="114"/>
      <c r="M41" s="114" t="str">
        <f ca="1">Limits!N113</f>
        <v/>
      </c>
      <c r="N41" s="114" t="str">
        <f ca="1">Limits!O113</f>
        <v/>
      </c>
      <c r="O41" s="114" t="str">
        <f ca="1">IF(Limits!P113&lt;&gt;0,Limits!P113,"")</f>
        <v/>
      </c>
      <c r="P41" s="114" t="str">
        <f ca="1">IF(Limits!Q113&lt;&gt;0,Limits!Q113,"")</f>
        <v/>
      </c>
    </row>
    <row r="42" spans="2:16" x14ac:dyDescent="0.25">
      <c r="B42" s="114" t="str">
        <f ca="1">Limits!B114</f>
        <v/>
      </c>
      <c r="C42" s="114" t="str">
        <f ca="1">Limits!D114</f>
        <v/>
      </c>
      <c r="D42" s="114" t="str">
        <f ca="1">Limits!E114</f>
        <v/>
      </c>
      <c r="E42" s="114" t="str">
        <f ca="1">Limits!F114</f>
        <v/>
      </c>
      <c r="F42" s="114" t="str">
        <f ca="1">Limits!H114</f>
        <v/>
      </c>
      <c r="G42" s="114" t="str">
        <f ca="1">Limits!J114</f>
        <v/>
      </c>
      <c r="H42" s="114" t="str">
        <f ca="1">Limits!K114</f>
        <v/>
      </c>
      <c r="I42" s="114"/>
      <c r="J42" s="114" t="str">
        <f ca="1">Limits!L114</f>
        <v/>
      </c>
      <c r="K42" s="114" t="str">
        <f ca="1">Limits!M114</f>
        <v/>
      </c>
      <c r="L42" s="114"/>
      <c r="M42" s="114" t="str">
        <f ca="1">Limits!N114</f>
        <v/>
      </c>
      <c r="N42" s="114" t="str">
        <f ca="1">Limits!O114</f>
        <v/>
      </c>
      <c r="O42" s="114" t="str">
        <f ca="1">IF(Limits!P114&lt;&gt;0,Limits!P114,"")</f>
        <v/>
      </c>
      <c r="P42" s="114" t="str">
        <f ca="1">IF(Limits!Q114&lt;&gt;0,Limits!Q114,"")</f>
        <v/>
      </c>
    </row>
    <row r="43" spans="2:16" x14ac:dyDescent="0.25">
      <c r="B43" s="114" t="str">
        <f ca="1">Limits!B115</f>
        <v/>
      </c>
      <c r="C43" s="114" t="str">
        <f ca="1">Limits!D115</f>
        <v/>
      </c>
      <c r="D43" s="114" t="str">
        <f ca="1">Limits!E115</f>
        <v/>
      </c>
      <c r="E43" s="114" t="str">
        <f ca="1">Limits!F115</f>
        <v/>
      </c>
      <c r="F43" s="114" t="str">
        <f ca="1">Limits!H115</f>
        <v/>
      </c>
      <c r="G43" s="114" t="str">
        <f ca="1">Limits!J115</f>
        <v/>
      </c>
      <c r="H43" s="114" t="str">
        <f ca="1">Limits!K115</f>
        <v/>
      </c>
      <c r="I43" s="114"/>
      <c r="J43" s="114" t="str">
        <f ca="1">Limits!L115</f>
        <v/>
      </c>
      <c r="K43" s="114" t="str">
        <f ca="1">Limits!M115</f>
        <v/>
      </c>
      <c r="L43" s="114"/>
      <c r="M43" s="114" t="str">
        <f ca="1">Limits!N115</f>
        <v/>
      </c>
      <c r="N43" s="114" t="str">
        <f ca="1">Limits!O115</f>
        <v/>
      </c>
      <c r="O43" s="114" t="str">
        <f ca="1">IF(Limits!P115&lt;&gt;0,Limits!P115,"")</f>
        <v/>
      </c>
      <c r="P43" s="114" t="str">
        <f ca="1">IF(Limits!Q115&lt;&gt;0,Limits!Q115,"")</f>
        <v/>
      </c>
    </row>
  </sheetData>
  <sheetProtection password="90CC" sheet="1" objects="1" scenarios="1"/>
  <mergeCells count="3">
    <mergeCell ref="J3:K3"/>
    <mergeCell ref="G3:H3"/>
    <mergeCell ref="B2:P2"/>
  </mergeCells>
  <hyperlinks>
    <hyperlink ref="A1" location="KINVARO!A1" display="KINVARO!A1"/>
  </hyperlinks>
  <pageMargins left="0.7" right="0.7" top="0.78740157499999996" bottom="0.78740157499999996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P27"/>
  <sheetViews>
    <sheetView zoomScale="80" zoomScaleNormal="80" workbookViewId="0"/>
  </sheetViews>
  <sheetFormatPr defaultColWidth="11.42578125" defaultRowHeight="15" x14ac:dyDescent="0.25"/>
  <cols>
    <col min="1" max="1" width="11.42578125" style="13"/>
    <col min="2" max="2" width="34.28515625" style="13" bestFit="1" customWidth="1"/>
    <col min="3" max="3" width="10.5703125" style="13" bestFit="1" customWidth="1"/>
    <col min="4" max="4" width="15.140625" style="13" bestFit="1" customWidth="1"/>
    <col min="5" max="5" width="25.28515625" style="13" bestFit="1" customWidth="1"/>
    <col min="6" max="6" width="26.5703125" style="13" bestFit="1" customWidth="1"/>
    <col min="7" max="8" width="4.42578125" style="13" bestFit="1" customWidth="1"/>
    <col min="9" max="9" width="3.7109375" style="13" customWidth="1"/>
    <col min="10" max="10" width="4.42578125" style="13" bestFit="1" customWidth="1"/>
    <col min="11" max="11" width="5.5703125" style="13" bestFit="1" customWidth="1"/>
    <col min="12" max="12" width="3.7109375" style="13" customWidth="1"/>
    <col min="13" max="13" width="50.7109375" style="13" bestFit="1" customWidth="1"/>
    <col min="14" max="14" width="15.140625" style="13" bestFit="1" customWidth="1"/>
    <col min="15" max="15" width="41" style="13" bestFit="1" customWidth="1"/>
    <col min="16" max="16" width="24.42578125" style="13" bestFit="1" customWidth="1"/>
    <col min="17" max="16384" width="11.42578125" style="13"/>
  </cols>
  <sheetData>
    <row r="1" spans="1:16" x14ac:dyDescent="0.25">
      <c r="A1" s="115" t="str">
        <f ca="1">Sprache!$A$105</f>
        <v>← назад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31.5" x14ac:dyDescent="0.5">
      <c r="A2" s="77"/>
      <c r="B2" s="388" t="str">
        <f ca="1">Sprache!$A$90 &amp; " "&amp; Limits!$P$2 &amp; " "&amp; Sprache!$A$92</f>
        <v>Решения с F-20 фурнитурой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</row>
    <row r="3" spans="1:16" x14ac:dyDescent="0.25">
      <c r="A3" s="77"/>
      <c r="B3" s="112"/>
      <c r="C3" s="112" t="str">
        <f ca="1">Limits!$D$75</f>
        <v>Сторона</v>
      </c>
      <c r="D3" s="112" t="str">
        <f ca="1">Limits!$E$75</f>
        <v>Артикул №</v>
      </c>
      <c r="E3" s="112" t="str">
        <f ca="1">Limits!$F$75</f>
        <v>Наименование</v>
      </c>
      <c r="F3" s="112" t="str">
        <f ca="1">Limits!$H$75</f>
        <v>Силовой механизм</v>
      </c>
      <c r="G3" s="387" t="str">
        <f ca="1">Limits!$J$75</f>
        <v>Высота</v>
      </c>
      <c r="H3" s="387"/>
      <c r="I3" s="113"/>
      <c r="J3" s="387" t="str">
        <f ca="1">Limits!$L$75</f>
        <v>Вес</v>
      </c>
      <c r="K3" s="387"/>
      <c r="L3" s="113"/>
      <c r="M3" s="112" t="str">
        <f ca="1">Limits!$N$75</f>
        <v>Требуется также</v>
      </c>
      <c r="N3" s="112"/>
      <c r="O3" s="112" t="str">
        <f ca="1">Limits!P75</f>
        <v>Шарнир</v>
      </c>
      <c r="P3" s="112">
        <f ca="1">Limits!Q75</f>
        <v>0</v>
      </c>
    </row>
    <row r="4" spans="1:16" x14ac:dyDescent="0.25">
      <c r="A4" s="77"/>
      <c r="B4" s="114" t="str">
        <f ca="1">Limits!B118</f>
        <v>F-20 Складной подъемник</v>
      </c>
      <c r="C4" s="114" t="str">
        <f ca="1">Limits!D118</f>
        <v>Комплект (Л + П)</v>
      </c>
      <c r="D4" s="114" t="str">
        <f ca="1">Limits!E118</f>
        <v>F152145246201</v>
      </c>
      <c r="E4" s="114" t="str">
        <f ca="1">Limits!F118</f>
        <v>Направляющий рычаг, тип 7</v>
      </c>
      <c r="F4" s="114" t="str">
        <f ca="1">Limits!H118</f>
        <v>Силовой механизм C</v>
      </c>
      <c r="G4" s="114">
        <f ca="1">Limits!J118</f>
        <v>750</v>
      </c>
      <c r="H4" s="114">
        <f ca="1">Limits!K118</f>
        <v>800</v>
      </c>
      <c r="I4" s="114"/>
      <c r="J4" s="114">
        <f ca="1">Limits!L118</f>
        <v>6</v>
      </c>
      <c r="K4" s="114">
        <f ca="1">Limits!M118</f>
        <v>15.6</v>
      </c>
      <c r="L4" s="114"/>
      <c r="M4" s="114" t="str">
        <f ca="1">Limits!N118</f>
        <v>-</v>
      </c>
      <c r="N4" s="114" t="str">
        <f ca="1">Limits!O118</f>
        <v>-</v>
      </c>
      <c r="O4" s="114" t="str">
        <f ca="1">IF(Limits!P118&lt;&gt;0,Limits!P118,"")</f>
        <v>TIOMOS 120° Шарнир</v>
      </c>
      <c r="P4" s="114" t="str">
        <f ca="1">IF(Limits!Q118&lt;&gt;0,Limits!Q118,"")</f>
        <v>1D° Монтажная плита</v>
      </c>
    </row>
    <row r="5" spans="1:16" x14ac:dyDescent="0.25">
      <c r="A5" s="77"/>
      <c r="B5" s="114" t="str">
        <f ca="1">Limits!B119</f>
        <v>F-20 Складной подъемник</v>
      </c>
      <c r="C5" s="114" t="str">
        <f ca="1">Limits!D119</f>
        <v>Комплект (Л + П)</v>
      </c>
      <c r="D5" s="114" t="str">
        <f ca="1">Limits!E119</f>
        <v>F152145247201</v>
      </c>
      <c r="E5" s="114" t="str">
        <f ca="1">Limits!F119</f>
        <v>Направляющий рычаг, тип 7</v>
      </c>
      <c r="F5" s="114" t="str">
        <f ca="1">Limits!H119</f>
        <v>Силовой механизм D</v>
      </c>
      <c r="G5" s="114">
        <f ca="1">Limits!J119</f>
        <v>750</v>
      </c>
      <c r="H5" s="114">
        <f ca="1">Limits!K119</f>
        <v>800</v>
      </c>
      <c r="I5" s="114"/>
      <c r="J5" s="114">
        <f ca="1">Limits!L119</f>
        <v>8.6</v>
      </c>
      <c r="K5" s="114">
        <f ca="1">Limits!M119</f>
        <v>19.2</v>
      </c>
      <c r="L5" s="114"/>
      <c r="M5" s="114" t="str">
        <f ca="1">Limits!N119</f>
        <v>-</v>
      </c>
      <c r="N5" s="114" t="str">
        <f ca="1">Limits!O119</f>
        <v>-</v>
      </c>
      <c r="O5" s="114" t="str">
        <f ca="1">IF(Limits!P119&lt;&gt;0,Limits!P119,"")</f>
        <v>TIOMOS 120° Шарнир</v>
      </c>
      <c r="P5" s="114" t="str">
        <f ca="1">IF(Limits!Q119&lt;&gt;0,Limits!Q119,"")</f>
        <v>1D° Монтажная плита</v>
      </c>
    </row>
    <row r="6" spans="1:16" x14ac:dyDescent="0.25">
      <c r="A6" s="77"/>
      <c r="B6" s="114" t="str">
        <f ca="1">Limits!B120</f>
        <v/>
      </c>
      <c r="C6" s="114" t="str">
        <f ca="1">Limits!D120</f>
        <v/>
      </c>
      <c r="D6" s="114" t="str">
        <f ca="1">Limits!E120</f>
        <v/>
      </c>
      <c r="E6" s="114" t="str">
        <f ca="1">Limits!F120</f>
        <v/>
      </c>
      <c r="F6" s="114" t="str">
        <f ca="1">Limits!H120</f>
        <v/>
      </c>
      <c r="G6" s="114" t="str">
        <f ca="1">Limits!J120</f>
        <v/>
      </c>
      <c r="H6" s="114" t="str">
        <f ca="1">Limits!K120</f>
        <v/>
      </c>
      <c r="I6" s="114"/>
      <c r="J6" s="114" t="str">
        <f ca="1">Limits!L120</f>
        <v/>
      </c>
      <c r="K6" s="114" t="str">
        <f ca="1">Limits!M120</f>
        <v/>
      </c>
      <c r="L6" s="114"/>
      <c r="M6" s="114" t="str">
        <f ca="1">Limits!N120</f>
        <v/>
      </c>
      <c r="N6" s="114" t="str">
        <f ca="1">Limits!O120</f>
        <v/>
      </c>
      <c r="O6" s="114" t="str">
        <f ca="1">IF(Limits!P120&lt;&gt;0,Limits!P120,"")</f>
        <v/>
      </c>
      <c r="P6" s="114" t="str">
        <f ca="1">IF(Limits!Q120&lt;&gt;0,Limits!Q120,"")</f>
        <v/>
      </c>
    </row>
    <row r="7" spans="1:16" x14ac:dyDescent="0.25">
      <c r="A7" s="77"/>
      <c r="B7" s="114" t="str">
        <f ca="1">Limits!B121</f>
        <v/>
      </c>
      <c r="C7" s="114" t="str">
        <f ca="1">Limits!D121</f>
        <v/>
      </c>
      <c r="D7" s="114" t="str">
        <f ca="1">Limits!E121</f>
        <v/>
      </c>
      <c r="E7" s="114" t="str">
        <f ca="1">Limits!F121</f>
        <v/>
      </c>
      <c r="F7" s="114" t="str">
        <f ca="1">Limits!H121</f>
        <v/>
      </c>
      <c r="G7" s="114" t="str">
        <f ca="1">Limits!J121</f>
        <v/>
      </c>
      <c r="H7" s="114" t="str">
        <f ca="1">Limits!K121</f>
        <v/>
      </c>
      <c r="I7" s="114"/>
      <c r="J7" s="114" t="str">
        <f ca="1">Limits!L121</f>
        <v/>
      </c>
      <c r="K7" s="114" t="str">
        <f ca="1">Limits!M121</f>
        <v/>
      </c>
      <c r="L7" s="114"/>
      <c r="M7" s="114" t="str">
        <f ca="1">Limits!N121</f>
        <v/>
      </c>
      <c r="N7" s="114" t="str">
        <f ca="1">Limits!O121</f>
        <v/>
      </c>
      <c r="O7" s="114" t="str">
        <f ca="1">IF(Limits!P121&lt;&gt;0,Limits!P121,"")</f>
        <v/>
      </c>
      <c r="P7" s="114" t="str">
        <f ca="1">IF(Limits!Q121&lt;&gt;0,Limits!Q121,"")</f>
        <v/>
      </c>
    </row>
    <row r="8" spans="1:16" x14ac:dyDescent="0.25">
      <c r="A8" s="77"/>
      <c r="B8" s="114" t="str">
        <f ca="1">Limits!B122</f>
        <v/>
      </c>
      <c r="C8" s="114" t="str">
        <f ca="1">Limits!D122</f>
        <v/>
      </c>
      <c r="D8" s="114" t="str">
        <f ca="1">Limits!E122</f>
        <v/>
      </c>
      <c r="E8" s="114" t="str">
        <f ca="1">Limits!F122</f>
        <v/>
      </c>
      <c r="F8" s="114" t="str">
        <f ca="1">Limits!H122</f>
        <v/>
      </c>
      <c r="G8" s="114" t="str">
        <f ca="1">Limits!J122</f>
        <v/>
      </c>
      <c r="H8" s="114" t="str">
        <f ca="1">Limits!K122</f>
        <v/>
      </c>
      <c r="I8" s="114"/>
      <c r="J8" s="114" t="str">
        <f ca="1">Limits!L122</f>
        <v/>
      </c>
      <c r="K8" s="114" t="str">
        <f ca="1">Limits!M122</f>
        <v/>
      </c>
      <c r="L8" s="114"/>
      <c r="M8" s="114" t="str">
        <f ca="1">Limits!N122</f>
        <v/>
      </c>
      <c r="N8" s="114" t="str">
        <f ca="1">Limits!O122</f>
        <v/>
      </c>
      <c r="O8" s="114" t="str">
        <f ca="1">IF(Limits!P122&lt;&gt;0,Limits!P122,"")</f>
        <v/>
      </c>
      <c r="P8" s="114" t="str">
        <f ca="1">IF(Limits!Q122&lt;&gt;0,Limits!Q122,"")</f>
        <v/>
      </c>
    </row>
    <row r="9" spans="1:16" x14ac:dyDescent="0.25">
      <c r="A9" s="77"/>
      <c r="B9" s="114" t="str">
        <f ca="1">Limits!B123</f>
        <v/>
      </c>
      <c r="C9" s="114" t="str">
        <f ca="1">Limits!D123</f>
        <v/>
      </c>
      <c r="D9" s="114" t="str">
        <f ca="1">Limits!E123</f>
        <v/>
      </c>
      <c r="E9" s="114" t="str">
        <f ca="1">Limits!F123</f>
        <v/>
      </c>
      <c r="F9" s="114" t="str">
        <f ca="1">Limits!H123</f>
        <v/>
      </c>
      <c r="G9" s="114" t="str">
        <f ca="1">Limits!J123</f>
        <v/>
      </c>
      <c r="H9" s="114" t="str">
        <f ca="1">Limits!K123</f>
        <v/>
      </c>
      <c r="I9" s="114"/>
      <c r="J9" s="114" t="str">
        <f ca="1">Limits!L123</f>
        <v/>
      </c>
      <c r="K9" s="114" t="str">
        <f ca="1">Limits!M123</f>
        <v/>
      </c>
      <c r="L9" s="114"/>
      <c r="M9" s="114" t="str">
        <f ca="1">Limits!N123</f>
        <v/>
      </c>
      <c r="N9" s="114" t="str">
        <f ca="1">Limits!O123</f>
        <v/>
      </c>
      <c r="O9" s="114" t="str">
        <f ca="1">IF(Limits!P123&lt;&gt;0,Limits!P123,"")</f>
        <v/>
      </c>
      <c r="P9" s="114" t="str">
        <f ca="1">IF(Limits!Q123&lt;&gt;0,Limits!Q123,"")</f>
        <v/>
      </c>
    </row>
    <row r="10" spans="1:16" x14ac:dyDescent="0.25">
      <c r="A10" s="77"/>
      <c r="B10" s="114" t="str">
        <f ca="1">Limits!B124</f>
        <v/>
      </c>
      <c r="C10" s="114" t="str">
        <f ca="1">Limits!D124</f>
        <v/>
      </c>
      <c r="D10" s="114" t="str">
        <f ca="1">Limits!E124</f>
        <v/>
      </c>
      <c r="E10" s="114" t="str">
        <f ca="1">Limits!F124</f>
        <v/>
      </c>
      <c r="F10" s="114" t="str">
        <f ca="1">Limits!H124</f>
        <v/>
      </c>
      <c r="G10" s="114" t="str">
        <f ca="1">Limits!J124</f>
        <v/>
      </c>
      <c r="H10" s="114" t="str">
        <f ca="1">Limits!K124</f>
        <v/>
      </c>
      <c r="I10" s="114"/>
      <c r="J10" s="114" t="str">
        <f ca="1">Limits!L124</f>
        <v/>
      </c>
      <c r="K10" s="114" t="str">
        <f ca="1">Limits!M124</f>
        <v/>
      </c>
      <c r="L10" s="114"/>
      <c r="M10" s="114" t="str">
        <f ca="1">Limits!N124</f>
        <v/>
      </c>
      <c r="N10" s="114" t="str">
        <f ca="1">Limits!O124</f>
        <v/>
      </c>
      <c r="O10" s="114" t="str">
        <f ca="1">IF(Limits!P124&lt;&gt;0,Limits!P124,"")</f>
        <v/>
      </c>
      <c r="P10" s="114" t="str">
        <f ca="1">IF(Limits!Q124&lt;&gt;0,Limits!Q124,"")</f>
        <v/>
      </c>
    </row>
    <row r="11" spans="1:16" x14ac:dyDescent="0.25">
      <c r="A11" s="77"/>
      <c r="B11" s="114" t="str">
        <f ca="1">Limits!B125</f>
        <v/>
      </c>
      <c r="C11" s="114" t="str">
        <f ca="1">Limits!D125</f>
        <v/>
      </c>
      <c r="D11" s="114" t="str">
        <f ca="1">Limits!E125</f>
        <v/>
      </c>
      <c r="E11" s="114" t="str">
        <f ca="1">Limits!F125</f>
        <v/>
      </c>
      <c r="F11" s="114" t="str">
        <f ca="1">Limits!H125</f>
        <v/>
      </c>
      <c r="G11" s="114" t="str">
        <f ca="1">Limits!J125</f>
        <v/>
      </c>
      <c r="H11" s="114" t="str">
        <f ca="1">Limits!K125</f>
        <v/>
      </c>
      <c r="I11" s="114"/>
      <c r="J11" s="114" t="str">
        <f ca="1">Limits!L125</f>
        <v/>
      </c>
      <c r="K11" s="114" t="str">
        <f ca="1">Limits!M125</f>
        <v/>
      </c>
      <c r="L11" s="114"/>
      <c r="M11" s="114" t="str">
        <f ca="1">Limits!N125</f>
        <v/>
      </c>
      <c r="N11" s="114" t="str">
        <f ca="1">Limits!O125</f>
        <v/>
      </c>
      <c r="O11" s="114" t="str">
        <f ca="1">IF(Limits!P125&lt;&gt;0,Limits!P125,"")</f>
        <v/>
      </c>
      <c r="P11" s="114" t="str">
        <f ca="1">IF(Limits!Q125&lt;&gt;0,Limits!Q125,"")</f>
        <v/>
      </c>
    </row>
    <row r="12" spans="1:16" x14ac:dyDescent="0.25">
      <c r="A12" s="77"/>
      <c r="B12" s="114" t="str">
        <f ca="1">Limits!B126</f>
        <v/>
      </c>
      <c r="C12" s="114" t="str">
        <f ca="1">Limits!D126</f>
        <v/>
      </c>
      <c r="D12" s="114" t="str">
        <f ca="1">Limits!E126</f>
        <v/>
      </c>
      <c r="E12" s="114" t="str">
        <f ca="1">Limits!F126</f>
        <v/>
      </c>
      <c r="F12" s="114" t="str">
        <f ca="1">Limits!H126</f>
        <v/>
      </c>
      <c r="G12" s="114" t="str">
        <f ca="1">Limits!J126</f>
        <v/>
      </c>
      <c r="H12" s="114" t="str">
        <f ca="1">Limits!K126</f>
        <v/>
      </c>
      <c r="I12" s="114"/>
      <c r="J12" s="114" t="str">
        <f ca="1">Limits!L126</f>
        <v/>
      </c>
      <c r="K12" s="114" t="str">
        <f ca="1">Limits!M126</f>
        <v/>
      </c>
      <c r="L12" s="114"/>
      <c r="M12" s="114" t="str">
        <f ca="1">Limits!N126</f>
        <v/>
      </c>
      <c r="N12" s="114" t="str">
        <f ca="1">Limits!O126</f>
        <v/>
      </c>
      <c r="O12" s="114" t="str">
        <f ca="1">IF(Limits!P126&lt;&gt;0,Limits!P126,"")</f>
        <v/>
      </c>
      <c r="P12" s="114" t="str">
        <f ca="1">IF(Limits!Q126&lt;&gt;0,Limits!Q126,"")</f>
        <v/>
      </c>
    </row>
    <row r="13" spans="1:16" x14ac:dyDescent="0.25">
      <c r="A13" s="77"/>
      <c r="B13" s="114" t="str">
        <f ca="1">Limits!B127</f>
        <v/>
      </c>
      <c r="C13" s="114" t="str">
        <f ca="1">Limits!D127</f>
        <v/>
      </c>
      <c r="D13" s="114" t="str">
        <f ca="1">Limits!E127</f>
        <v/>
      </c>
      <c r="E13" s="114" t="str">
        <f ca="1">Limits!F127</f>
        <v/>
      </c>
      <c r="F13" s="114" t="str">
        <f ca="1">Limits!H127</f>
        <v/>
      </c>
      <c r="G13" s="114" t="str">
        <f ca="1">Limits!J127</f>
        <v/>
      </c>
      <c r="H13" s="114" t="str">
        <f ca="1">Limits!K127</f>
        <v/>
      </c>
      <c r="I13" s="114"/>
      <c r="J13" s="114" t="str">
        <f ca="1">Limits!L127</f>
        <v/>
      </c>
      <c r="K13" s="114" t="str">
        <f ca="1">Limits!M127</f>
        <v/>
      </c>
      <c r="L13" s="114"/>
      <c r="M13" s="114" t="str">
        <f ca="1">Limits!N127</f>
        <v/>
      </c>
      <c r="N13" s="114" t="str">
        <f ca="1">Limits!O127</f>
        <v/>
      </c>
      <c r="O13" s="114" t="str">
        <f ca="1">IF(Limits!P127&lt;&gt;0,Limits!P127,"")</f>
        <v/>
      </c>
      <c r="P13" s="114" t="str">
        <f ca="1">IF(Limits!Q127&lt;&gt;0,Limits!Q127,"")</f>
        <v/>
      </c>
    </row>
    <row r="14" spans="1:16" x14ac:dyDescent="0.25">
      <c r="A14" s="77"/>
      <c r="B14" s="114" t="str">
        <f ca="1">Limits!B128</f>
        <v/>
      </c>
      <c r="C14" s="114" t="str">
        <f ca="1">Limits!D128</f>
        <v/>
      </c>
      <c r="D14" s="114" t="str">
        <f ca="1">Limits!E128</f>
        <v/>
      </c>
      <c r="E14" s="114" t="str">
        <f ca="1">Limits!F128</f>
        <v/>
      </c>
      <c r="F14" s="114" t="str">
        <f ca="1">Limits!H128</f>
        <v/>
      </c>
      <c r="G14" s="114" t="str">
        <f ca="1">Limits!J128</f>
        <v/>
      </c>
      <c r="H14" s="114" t="str">
        <f ca="1">Limits!K128</f>
        <v/>
      </c>
      <c r="I14" s="114"/>
      <c r="J14" s="114" t="str">
        <f ca="1">Limits!L128</f>
        <v/>
      </c>
      <c r="K14" s="114" t="str">
        <f ca="1">Limits!M128</f>
        <v/>
      </c>
      <c r="L14" s="114"/>
      <c r="M14" s="114" t="str">
        <f ca="1">Limits!N128</f>
        <v/>
      </c>
      <c r="N14" s="114" t="str">
        <f ca="1">Limits!O128</f>
        <v/>
      </c>
      <c r="O14" s="114" t="str">
        <f ca="1">IF(Limits!P128&lt;&gt;0,Limits!P128,"")</f>
        <v/>
      </c>
      <c r="P14" s="114" t="str">
        <f ca="1">IF(Limits!Q128&lt;&gt;0,Limits!Q128,"")</f>
        <v/>
      </c>
    </row>
    <row r="15" spans="1:16" x14ac:dyDescent="0.25">
      <c r="A15" s="77"/>
      <c r="B15" s="114" t="str">
        <f ca="1">Limits!B129</f>
        <v/>
      </c>
      <c r="C15" s="114" t="str">
        <f ca="1">Limits!D129</f>
        <v/>
      </c>
      <c r="D15" s="114" t="str">
        <f ca="1">Limits!E129</f>
        <v/>
      </c>
      <c r="E15" s="114" t="str">
        <f ca="1">Limits!F129</f>
        <v/>
      </c>
      <c r="F15" s="114" t="str">
        <f ca="1">Limits!H129</f>
        <v/>
      </c>
      <c r="G15" s="114" t="str">
        <f ca="1">Limits!J129</f>
        <v/>
      </c>
      <c r="H15" s="114" t="str">
        <f ca="1">Limits!K129</f>
        <v/>
      </c>
      <c r="I15" s="114"/>
      <c r="J15" s="114" t="str">
        <f ca="1">Limits!L129</f>
        <v/>
      </c>
      <c r="K15" s="114" t="str">
        <f ca="1">Limits!M129</f>
        <v/>
      </c>
      <c r="L15" s="114"/>
      <c r="M15" s="114" t="str">
        <f ca="1">Limits!N129</f>
        <v/>
      </c>
      <c r="N15" s="114" t="str">
        <f ca="1">Limits!O129</f>
        <v/>
      </c>
      <c r="O15" s="114" t="str">
        <f ca="1">IF(Limits!P129&lt;&gt;0,Limits!P129,"")</f>
        <v/>
      </c>
      <c r="P15" s="114" t="str">
        <f ca="1">IF(Limits!Q129&lt;&gt;0,Limits!Q129,"")</f>
        <v/>
      </c>
    </row>
    <row r="16" spans="1:16" x14ac:dyDescent="0.25">
      <c r="A16" s="77"/>
      <c r="B16" s="114" t="str">
        <f ca="1">Limits!B130</f>
        <v/>
      </c>
      <c r="C16" s="114" t="str">
        <f ca="1">Limits!D130</f>
        <v/>
      </c>
      <c r="D16" s="114" t="str">
        <f ca="1">Limits!E130</f>
        <v/>
      </c>
      <c r="E16" s="114" t="str">
        <f ca="1">Limits!F130</f>
        <v/>
      </c>
      <c r="F16" s="114" t="str">
        <f ca="1">Limits!H130</f>
        <v/>
      </c>
      <c r="G16" s="114" t="str">
        <f ca="1">Limits!J130</f>
        <v/>
      </c>
      <c r="H16" s="114" t="str">
        <f ca="1">Limits!K130</f>
        <v/>
      </c>
      <c r="I16" s="114"/>
      <c r="J16" s="114" t="str">
        <f ca="1">Limits!L130</f>
        <v/>
      </c>
      <c r="K16" s="114" t="str">
        <f ca="1">Limits!M130</f>
        <v/>
      </c>
      <c r="L16" s="114"/>
      <c r="M16" s="114" t="str">
        <f ca="1">Limits!N130</f>
        <v/>
      </c>
      <c r="N16" s="114" t="str">
        <f ca="1">Limits!O130</f>
        <v/>
      </c>
      <c r="O16" s="114" t="str">
        <f ca="1">IF(Limits!P130&lt;&gt;0,Limits!P130,"")</f>
        <v/>
      </c>
      <c r="P16" s="114" t="str">
        <f ca="1">IF(Limits!Q130&lt;&gt;0,Limits!Q130,"")</f>
        <v/>
      </c>
    </row>
    <row r="17" spans="1:16" x14ac:dyDescent="0.25">
      <c r="A17" s="77"/>
      <c r="B17" s="114" t="str">
        <f ca="1">Limits!B131</f>
        <v/>
      </c>
      <c r="C17" s="114" t="str">
        <f ca="1">Limits!D131</f>
        <v/>
      </c>
      <c r="D17" s="114" t="str">
        <f ca="1">Limits!E131</f>
        <v/>
      </c>
      <c r="E17" s="114" t="str">
        <f ca="1">Limits!F131</f>
        <v/>
      </c>
      <c r="F17" s="114" t="str">
        <f ca="1">Limits!H131</f>
        <v/>
      </c>
      <c r="G17" s="114" t="str">
        <f ca="1">Limits!J131</f>
        <v/>
      </c>
      <c r="H17" s="114" t="str">
        <f ca="1">Limits!K131</f>
        <v/>
      </c>
      <c r="I17" s="114"/>
      <c r="J17" s="114" t="str">
        <f ca="1">Limits!L131</f>
        <v/>
      </c>
      <c r="K17" s="114" t="str">
        <f ca="1">Limits!M131</f>
        <v/>
      </c>
      <c r="L17" s="114"/>
      <c r="M17" s="114" t="str">
        <f ca="1">Limits!N131</f>
        <v/>
      </c>
      <c r="N17" s="114" t="str">
        <f ca="1">Limits!O131</f>
        <v/>
      </c>
      <c r="O17" s="114" t="str">
        <f ca="1">IF(Limits!P131&lt;&gt;0,Limits!P131,"")</f>
        <v/>
      </c>
      <c r="P17" s="114" t="str">
        <f ca="1">IF(Limits!Q131&lt;&gt;0,Limits!Q131,"")</f>
        <v/>
      </c>
    </row>
    <row r="18" spans="1:16" x14ac:dyDescent="0.25">
      <c r="A18" s="77"/>
      <c r="B18" s="114" t="str">
        <f ca="1">Limits!B132</f>
        <v/>
      </c>
      <c r="C18" s="114" t="str">
        <f ca="1">Limits!D132</f>
        <v/>
      </c>
      <c r="D18" s="114" t="str">
        <f ca="1">Limits!E132</f>
        <v/>
      </c>
      <c r="E18" s="114" t="str">
        <f ca="1">Limits!F132</f>
        <v/>
      </c>
      <c r="F18" s="114" t="str">
        <f ca="1">Limits!H132</f>
        <v/>
      </c>
      <c r="G18" s="114" t="str">
        <f ca="1">Limits!J132</f>
        <v/>
      </c>
      <c r="H18" s="114" t="str">
        <f ca="1">Limits!K132</f>
        <v/>
      </c>
      <c r="I18" s="114"/>
      <c r="J18" s="114" t="str">
        <f ca="1">Limits!L132</f>
        <v/>
      </c>
      <c r="K18" s="114" t="str">
        <f ca="1">Limits!M132</f>
        <v/>
      </c>
      <c r="L18" s="114"/>
      <c r="M18" s="114" t="str">
        <f ca="1">Limits!N132</f>
        <v/>
      </c>
      <c r="N18" s="114" t="str">
        <f ca="1">Limits!O132</f>
        <v/>
      </c>
      <c r="O18" s="114" t="str">
        <f ca="1">IF(Limits!P132&lt;&gt;0,Limits!P132,"")</f>
        <v/>
      </c>
      <c r="P18" s="114" t="str">
        <f ca="1">IF(Limits!Q132&lt;&gt;0,Limits!Q132,"")</f>
        <v/>
      </c>
    </row>
    <row r="19" spans="1:16" x14ac:dyDescent="0.25">
      <c r="A19" s="77"/>
      <c r="B19" s="114" t="str">
        <f ca="1">Limits!B133</f>
        <v/>
      </c>
      <c r="C19" s="114" t="str">
        <f ca="1">Limits!D133</f>
        <v/>
      </c>
      <c r="D19" s="114" t="str">
        <f ca="1">Limits!E133</f>
        <v/>
      </c>
      <c r="E19" s="114" t="str">
        <f ca="1">Limits!F133</f>
        <v/>
      </c>
      <c r="F19" s="114" t="str">
        <f ca="1">Limits!H133</f>
        <v/>
      </c>
      <c r="G19" s="114" t="str">
        <f ca="1">Limits!J133</f>
        <v/>
      </c>
      <c r="H19" s="114" t="str">
        <f ca="1">Limits!K133</f>
        <v/>
      </c>
      <c r="I19" s="114"/>
      <c r="J19" s="114" t="str">
        <f ca="1">Limits!L133</f>
        <v/>
      </c>
      <c r="K19" s="114" t="str">
        <f ca="1">Limits!M133</f>
        <v/>
      </c>
      <c r="L19" s="114"/>
      <c r="M19" s="114" t="str">
        <f ca="1">Limits!N133</f>
        <v/>
      </c>
      <c r="N19" s="114" t="str">
        <f ca="1">Limits!O133</f>
        <v/>
      </c>
      <c r="O19" s="114" t="str">
        <f ca="1">IF(Limits!P133&lt;&gt;0,Limits!P133,"")</f>
        <v/>
      </c>
      <c r="P19" s="114" t="str">
        <f ca="1">IF(Limits!Q133&lt;&gt;0,Limits!Q133,"")</f>
        <v/>
      </c>
    </row>
    <row r="20" spans="1:16" x14ac:dyDescent="0.25">
      <c r="A20" s="77"/>
      <c r="B20" s="114" t="str">
        <f ca="1">Limits!B134</f>
        <v/>
      </c>
      <c r="C20" s="114" t="str">
        <f ca="1">Limits!D134</f>
        <v/>
      </c>
      <c r="D20" s="114" t="str">
        <f ca="1">Limits!E134</f>
        <v/>
      </c>
      <c r="E20" s="114" t="str">
        <f ca="1">Limits!F134</f>
        <v/>
      </c>
      <c r="F20" s="114" t="str">
        <f ca="1">Limits!H134</f>
        <v/>
      </c>
      <c r="G20" s="114" t="str">
        <f ca="1">Limits!J134</f>
        <v/>
      </c>
      <c r="H20" s="114" t="str">
        <f ca="1">Limits!K134</f>
        <v/>
      </c>
      <c r="I20" s="114"/>
      <c r="J20" s="114" t="str">
        <f ca="1">Limits!L134</f>
        <v/>
      </c>
      <c r="K20" s="114" t="str">
        <f ca="1">Limits!M134</f>
        <v/>
      </c>
      <c r="L20" s="114"/>
      <c r="M20" s="114" t="str">
        <f ca="1">Limits!N134</f>
        <v/>
      </c>
      <c r="N20" s="114" t="str">
        <f ca="1">Limits!O134</f>
        <v/>
      </c>
      <c r="O20" s="114" t="str">
        <f ca="1">IF(Limits!P134&lt;&gt;0,Limits!P134,"")</f>
        <v/>
      </c>
      <c r="P20" s="114" t="str">
        <f ca="1">IF(Limits!Q134&lt;&gt;0,Limits!Q134,"")</f>
        <v/>
      </c>
    </row>
    <row r="21" spans="1:16" x14ac:dyDescent="0.25">
      <c r="A21" s="77"/>
      <c r="B21" s="114" t="str">
        <f ca="1">Limits!B135</f>
        <v/>
      </c>
      <c r="C21" s="114" t="str">
        <f ca="1">Limits!D135</f>
        <v/>
      </c>
      <c r="D21" s="114" t="str">
        <f ca="1">Limits!E135</f>
        <v/>
      </c>
      <c r="E21" s="114" t="str">
        <f ca="1">Limits!F135</f>
        <v/>
      </c>
      <c r="F21" s="114" t="str">
        <f ca="1">Limits!H135</f>
        <v/>
      </c>
      <c r="G21" s="114" t="str">
        <f ca="1">Limits!J135</f>
        <v/>
      </c>
      <c r="H21" s="114" t="str">
        <f ca="1">Limits!K135</f>
        <v/>
      </c>
      <c r="I21" s="114"/>
      <c r="J21" s="114" t="str">
        <f ca="1">Limits!L135</f>
        <v/>
      </c>
      <c r="K21" s="114" t="str">
        <f ca="1">Limits!M135</f>
        <v/>
      </c>
      <c r="L21" s="114"/>
      <c r="M21" s="114" t="str">
        <f ca="1">Limits!N135</f>
        <v/>
      </c>
      <c r="N21" s="114" t="str">
        <f ca="1">Limits!O135</f>
        <v/>
      </c>
      <c r="O21" s="114" t="str">
        <f ca="1">IF(Limits!P135&lt;&gt;0,Limits!P135,"")</f>
        <v/>
      </c>
      <c r="P21" s="114" t="str">
        <f ca="1">IF(Limits!Q135&lt;&gt;0,Limits!Q135,"")</f>
        <v/>
      </c>
    </row>
    <row r="22" spans="1:16" x14ac:dyDescent="0.25">
      <c r="A22" s="77"/>
      <c r="B22" s="114" t="str">
        <f ca="1">Limits!B136</f>
        <v/>
      </c>
      <c r="C22" s="114" t="str">
        <f ca="1">Limits!D136</f>
        <v/>
      </c>
      <c r="D22" s="114" t="str">
        <f ca="1">Limits!E136</f>
        <v/>
      </c>
      <c r="E22" s="114" t="str">
        <f ca="1">Limits!F136</f>
        <v/>
      </c>
      <c r="F22" s="114" t="str">
        <f ca="1">Limits!H136</f>
        <v/>
      </c>
      <c r="G22" s="114" t="str">
        <f ca="1">Limits!J136</f>
        <v/>
      </c>
      <c r="H22" s="114" t="str">
        <f ca="1">Limits!K136</f>
        <v/>
      </c>
      <c r="I22" s="114"/>
      <c r="J22" s="114" t="str">
        <f ca="1">Limits!L136</f>
        <v/>
      </c>
      <c r="K22" s="114" t="str">
        <f ca="1">Limits!M136</f>
        <v/>
      </c>
      <c r="L22" s="114"/>
      <c r="M22" s="114" t="str">
        <f ca="1">Limits!N136</f>
        <v/>
      </c>
      <c r="N22" s="114" t="str">
        <f ca="1">Limits!O136</f>
        <v/>
      </c>
      <c r="O22" s="114" t="str">
        <f ca="1">IF(Limits!P136&lt;&gt;0,Limits!P136,"")</f>
        <v/>
      </c>
      <c r="P22" s="114" t="str">
        <f ca="1">IF(Limits!Q136&lt;&gt;0,Limits!Q136,"")</f>
        <v/>
      </c>
    </row>
    <row r="23" spans="1:16" x14ac:dyDescent="0.25">
      <c r="A23" s="77"/>
      <c r="B23" s="114" t="str">
        <f ca="1">Limits!B137</f>
        <v/>
      </c>
      <c r="C23" s="114" t="str">
        <f ca="1">Limits!D137</f>
        <v/>
      </c>
      <c r="D23" s="114" t="str">
        <f ca="1">Limits!E137</f>
        <v/>
      </c>
      <c r="E23" s="114" t="str">
        <f ca="1">Limits!F137</f>
        <v/>
      </c>
      <c r="F23" s="114" t="str">
        <f ca="1">Limits!H137</f>
        <v/>
      </c>
      <c r="G23" s="114" t="str">
        <f ca="1">Limits!J137</f>
        <v/>
      </c>
      <c r="H23" s="114" t="str">
        <f ca="1">Limits!K137</f>
        <v/>
      </c>
      <c r="I23" s="114"/>
      <c r="J23" s="114" t="str">
        <f ca="1">Limits!L137</f>
        <v/>
      </c>
      <c r="K23" s="114" t="str">
        <f ca="1">Limits!M137</f>
        <v/>
      </c>
      <c r="L23" s="114"/>
      <c r="M23" s="114" t="str">
        <f ca="1">Limits!N137</f>
        <v/>
      </c>
      <c r="N23" s="114" t="str">
        <f ca="1">Limits!O137</f>
        <v/>
      </c>
      <c r="O23" s="114" t="str">
        <f ca="1">IF(Limits!P137&lt;&gt;0,Limits!P137,"")</f>
        <v/>
      </c>
      <c r="P23" s="114" t="str">
        <f ca="1">IF(Limits!Q137&lt;&gt;0,Limits!Q137,"")</f>
        <v/>
      </c>
    </row>
    <row r="24" spans="1:16" x14ac:dyDescent="0.25">
      <c r="A24" s="77"/>
      <c r="B24" s="114" t="str">
        <f ca="1">Limits!B138</f>
        <v/>
      </c>
      <c r="C24" s="114" t="str">
        <f ca="1">Limits!D138</f>
        <v/>
      </c>
      <c r="D24" s="114" t="str">
        <f ca="1">Limits!E138</f>
        <v/>
      </c>
      <c r="E24" s="114" t="str">
        <f ca="1">Limits!F138</f>
        <v/>
      </c>
      <c r="F24" s="114" t="str">
        <f ca="1">Limits!H138</f>
        <v/>
      </c>
      <c r="G24" s="114" t="str">
        <f ca="1">Limits!J138</f>
        <v/>
      </c>
      <c r="H24" s="114" t="str">
        <f ca="1">Limits!K138</f>
        <v/>
      </c>
      <c r="I24" s="114"/>
      <c r="J24" s="114" t="str">
        <f ca="1">Limits!L138</f>
        <v/>
      </c>
      <c r="K24" s="114" t="str">
        <f ca="1">Limits!M138</f>
        <v/>
      </c>
      <c r="L24" s="114"/>
      <c r="M24" s="114" t="str">
        <f ca="1">Limits!N138</f>
        <v/>
      </c>
      <c r="N24" s="114" t="str">
        <f ca="1">Limits!O138</f>
        <v/>
      </c>
      <c r="O24" s="114" t="str">
        <f ca="1">IF(Limits!P138&lt;&gt;0,Limits!P138,"")</f>
        <v/>
      </c>
      <c r="P24" s="114" t="str">
        <f ca="1">IF(Limits!Q138&lt;&gt;0,Limits!Q138,"")</f>
        <v/>
      </c>
    </row>
    <row r="25" spans="1:16" x14ac:dyDescent="0.25">
      <c r="A25" s="77"/>
      <c r="B25" s="114" t="str">
        <f ca="1">Limits!B139</f>
        <v/>
      </c>
      <c r="C25" s="114" t="str">
        <f ca="1">Limits!D139</f>
        <v/>
      </c>
      <c r="D25" s="114" t="str">
        <f ca="1">Limits!E139</f>
        <v/>
      </c>
      <c r="E25" s="114" t="str">
        <f ca="1">Limits!F139</f>
        <v/>
      </c>
      <c r="F25" s="114" t="str">
        <f ca="1">Limits!H139</f>
        <v/>
      </c>
      <c r="G25" s="114" t="str">
        <f ca="1">Limits!J139</f>
        <v/>
      </c>
      <c r="H25" s="114" t="str">
        <f ca="1">Limits!K139</f>
        <v/>
      </c>
      <c r="I25" s="114"/>
      <c r="J25" s="114" t="str">
        <f ca="1">Limits!L139</f>
        <v/>
      </c>
      <c r="K25" s="114" t="str">
        <f ca="1">Limits!M139</f>
        <v/>
      </c>
      <c r="L25" s="114"/>
      <c r="M25" s="114" t="str">
        <f ca="1">Limits!N139</f>
        <v/>
      </c>
      <c r="N25" s="114" t="str">
        <f ca="1">Limits!O139</f>
        <v/>
      </c>
      <c r="O25" s="114" t="str">
        <f ca="1">IF(Limits!P139&lt;&gt;0,Limits!P139,"")</f>
        <v/>
      </c>
      <c r="P25" s="114" t="str">
        <f ca="1">IF(Limits!Q139&lt;&gt;0,Limits!Q139,"")</f>
        <v/>
      </c>
    </row>
    <row r="26" spans="1:16" x14ac:dyDescent="0.25">
      <c r="A26" s="77"/>
      <c r="B26" s="114" t="str">
        <f ca="1">Limits!B140</f>
        <v/>
      </c>
      <c r="C26" s="114" t="str">
        <f ca="1">Limits!D140</f>
        <v/>
      </c>
      <c r="D26" s="114" t="str">
        <f ca="1">Limits!E140</f>
        <v/>
      </c>
      <c r="E26" s="114" t="str">
        <f ca="1">Limits!F140</f>
        <v/>
      </c>
      <c r="F26" s="114" t="str">
        <f ca="1">Limits!H140</f>
        <v/>
      </c>
      <c r="G26" s="114" t="str">
        <f ca="1">Limits!J140</f>
        <v/>
      </c>
      <c r="H26" s="114" t="str">
        <f ca="1">Limits!K140</f>
        <v/>
      </c>
      <c r="I26" s="114"/>
      <c r="J26" s="114" t="str">
        <f ca="1">Limits!L140</f>
        <v/>
      </c>
      <c r="K26" s="114" t="str">
        <f ca="1">Limits!M140</f>
        <v/>
      </c>
      <c r="L26" s="114"/>
      <c r="M26" s="114" t="str">
        <f ca="1">Limits!N140</f>
        <v/>
      </c>
      <c r="N26" s="114" t="str">
        <f ca="1">Limits!O140</f>
        <v/>
      </c>
      <c r="O26" s="114" t="str">
        <f ca="1">IF(Limits!P140&lt;&gt;0,Limits!P140,"")</f>
        <v/>
      </c>
      <c r="P26" s="114" t="str">
        <f ca="1">IF(Limits!Q140&lt;&gt;0,Limits!Q140,"")</f>
        <v/>
      </c>
    </row>
    <row r="27" spans="1:16" x14ac:dyDescent="0.25">
      <c r="A27" s="77"/>
      <c r="B27" s="114" t="str">
        <f ca="1">Limits!B141</f>
        <v/>
      </c>
      <c r="C27" s="114" t="str">
        <f ca="1">Limits!D141</f>
        <v/>
      </c>
      <c r="D27" s="114" t="str">
        <f ca="1">Limits!E141</f>
        <v/>
      </c>
      <c r="E27" s="114" t="str">
        <f ca="1">Limits!F141</f>
        <v/>
      </c>
      <c r="F27" s="114" t="str">
        <f ca="1">Limits!H141</f>
        <v/>
      </c>
      <c r="G27" s="114" t="str">
        <f ca="1">Limits!J141</f>
        <v/>
      </c>
      <c r="H27" s="114" t="str">
        <f ca="1">Limits!K141</f>
        <v/>
      </c>
      <c r="I27" s="114"/>
      <c r="J27" s="114" t="str">
        <f ca="1">Limits!L141</f>
        <v/>
      </c>
      <c r="K27" s="114" t="str">
        <f ca="1">Limits!M141</f>
        <v/>
      </c>
      <c r="L27" s="114"/>
      <c r="M27" s="114" t="str">
        <f ca="1">Limits!N141</f>
        <v/>
      </c>
      <c r="N27" s="114" t="str">
        <f ca="1">Limits!O141</f>
        <v/>
      </c>
      <c r="O27" s="114" t="str">
        <f ca="1">IF(Limits!P141&lt;&gt;0,Limits!P141,"")</f>
        <v/>
      </c>
      <c r="P27" s="114" t="str">
        <f ca="1">IF(Limits!Q141&lt;&gt;0,Limits!Q141,"")</f>
        <v/>
      </c>
    </row>
  </sheetData>
  <sheetProtection password="90CC" sheet="1" objects="1" scenarios="1"/>
  <mergeCells count="3">
    <mergeCell ref="G3:H3"/>
    <mergeCell ref="J3:K3"/>
    <mergeCell ref="B2:P2"/>
  </mergeCells>
  <hyperlinks>
    <hyperlink ref="A1" location="KINVARO!A1" display="KINVARO!A1"/>
  </hyperlinks>
  <pageMargins left="0.7" right="0.7" top="0.78740157499999996" bottom="0.78740157499999996" header="0.3" footer="0.3"/>
  <pageSetup paperSize="9" scale="8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KINVARO</vt:lpstr>
      <vt:lpstr>Daten</vt:lpstr>
      <vt:lpstr>Industrieverpackung</vt:lpstr>
      <vt:lpstr>Sprache</vt:lpstr>
      <vt:lpstr>Material</vt:lpstr>
      <vt:lpstr>S1</vt:lpstr>
      <vt:lpstr>S2</vt:lpstr>
      <vt:lpstr>KINVARO!Область_печати</vt:lpstr>
      <vt:lpstr>'S1'!Область_печати</vt:lpstr>
      <vt:lpstr>'S2'!Область_печати</vt:lpstr>
    </vt:vector>
  </TitlesOfParts>
  <Manager>www.sys33.de</Manager>
  <Company>SYS33 EDV Dienstleistung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GRASS KINVARO Produktfinder</dc:title>
  <dc:creator>Harald Nitz;SYS33 EDV Dienstleistung;www.sys33.de</dc:creator>
  <cp:keywords>Tool</cp:keywords>
  <cp:lastModifiedBy>user</cp:lastModifiedBy>
  <cp:lastPrinted>2013-03-18T17:56:58Z</cp:lastPrinted>
  <dcterms:created xsi:type="dcterms:W3CDTF">2013-03-11T12:28:47Z</dcterms:created>
  <dcterms:modified xsi:type="dcterms:W3CDTF">2022-09-12T12:18:46Z</dcterms:modified>
  <cp:category>www.sys33.de</cp:category>
</cp:coreProperties>
</file>