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240" yWindow="375" windowWidth="25440" windowHeight="12165"/>
  </bookViews>
  <sheets>
    <sheet name="VIONARO" sheetId="1" r:id="rId1"/>
    <sheet name="Formeln" sheetId="2" state="hidden" r:id="rId2"/>
    <sheet name="Sprachen" sheetId="3" state="hidden" r:id="rId3"/>
    <sheet name="Tabelle1" sheetId="4" state="hidden" r:id="rId4"/>
  </sheets>
  <definedNames>
    <definedName name="Sprache">Sprachen!$A$2:$H$2</definedName>
    <definedName name="Übersetzung">Sprachen!$A$2:$H$12</definedName>
  </definedNames>
  <calcPr calcId="145621"/>
</workbook>
</file>

<file path=xl/calcChain.xml><?xml version="1.0" encoding="utf-8"?>
<calcChain xmlns="http://schemas.openxmlformats.org/spreadsheetml/2006/main">
  <c r="F31" i="2" l="1"/>
  <c r="E31" i="2"/>
  <c r="F24" i="2"/>
  <c r="E24" i="2"/>
  <c r="R25" i="1" l="1"/>
  <c r="G8" i="1" l="1"/>
  <c r="F38" i="2"/>
  <c r="E38" i="2"/>
  <c r="G6" i="1"/>
  <c r="M6" i="1"/>
  <c r="M7" i="1"/>
  <c r="I8" i="1"/>
  <c r="M8" i="1"/>
  <c r="M10" i="1"/>
  <c r="O10" i="1"/>
  <c r="Q10" i="1"/>
  <c r="K11" i="1"/>
  <c r="N13" i="1"/>
  <c r="N15" i="1"/>
  <c r="N19" i="1"/>
  <c r="N21" i="1"/>
  <c r="N23" i="1"/>
  <c r="G25" i="1"/>
  <c r="A34" i="2" l="1"/>
  <c r="B35" i="2" s="1"/>
  <c r="C35" i="2" s="1"/>
  <c r="D35" i="2" s="1"/>
  <c r="A27" i="2"/>
  <c r="B30" i="2" s="1"/>
  <c r="C30" i="2" s="1"/>
  <c r="D30" i="2" s="1"/>
  <c r="D13" i="1"/>
  <c r="D15" i="1"/>
  <c r="A20" i="2"/>
  <c r="B22" i="2" s="1"/>
  <c r="A13" i="2"/>
  <c r="B14" i="2" s="1"/>
  <c r="C14" i="2" s="1"/>
  <c r="D14" i="2" s="1"/>
  <c r="E14" i="2" s="1"/>
  <c r="B36" i="2" l="1"/>
  <c r="C36" i="2" s="1"/>
  <c r="D36" i="2" s="1"/>
  <c r="E36" i="2" s="1"/>
  <c r="B37" i="2"/>
  <c r="C37" i="2" s="1"/>
  <c r="D37" i="2" s="1"/>
  <c r="E37" i="2" s="1"/>
  <c r="B34" i="2"/>
  <c r="E35" i="2"/>
  <c r="F35" i="2"/>
  <c r="B27" i="2"/>
  <c r="B28" i="2"/>
  <c r="C28" i="2" s="1"/>
  <c r="D28" i="2" s="1"/>
  <c r="E28" i="2" s="1"/>
  <c r="B29" i="2"/>
  <c r="C29" i="2" s="1"/>
  <c r="E30" i="2"/>
  <c r="F30" i="2"/>
  <c r="B23" i="2"/>
  <c r="C23" i="2" s="1"/>
  <c r="B21" i="2"/>
  <c r="C21" i="2" s="1"/>
  <c r="B20" i="2"/>
  <c r="C22" i="2"/>
  <c r="F14" i="2"/>
  <c r="B15" i="2"/>
  <c r="C15" i="2" s="1"/>
  <c r="D15" i="2" s="1"/>
  <c r="B16" i="2"/>
  <c r="C16" i="2" s="1"/>
  <c r="D16" i="2" s="1"/>
  <c r="B13" i="2"/>
  <c r="D17" i="1"/>
  <c r="D19" i="1"/>
  <c r="D21" i="1"/>
  <c r="D23" i="1"/>
  <c r="E17" i="2" l="1"/>
  <c r="F17" i="2"/>
  <c r="F36" i="2"/>
  <c r="C34" i="2"/>
  <c r="D34" i="2" s="1"/>
  <c r="F37" i="2"/>
  <c r="F28" i="2"/>
  <c r="C27" i="2"/>
  <c r="D27" i="2" s="1"/>
  <c r="F27" i="2" s="1"/>
  <c r="D29" i="2"/>
  <c r="E29" i="2" s="1"/>
  <c r="D12" i="1"/>
  <c r="D22" i="2"/>
  <c r="F22" i="2" s="1"/>
  <c r="C20" i="2"/>
  <c r="D20" i="2" s="1"/>
  <c r="F20" i="2" s="1"/>
  <c r="D23" i="2"/>
  <c r="E23" i="2" s="1"/>
  <c r="D21" i="2"/>
  <c r="E21" i="2" s="1"/>
  <c r="C13" i="2"/>
  <c r="D13" i="2" s="1"/>
  <c r="E16" i="2"/>
  <c r="F16" i="2"/>
  <c r="F15" i="2"/>
  <c r="E15" i="2"/>
  <c r="H15" i="1" l="1"/>
  <c r="H19" i="1"/>
  <c r="H23" i="1"/>
  <c r="H13" i="1"/>
  <c r="H17" i="1"/>
  <c r="H21" i="1"/>
  <c r="F34" i="2"/>
  <c r="E34" i="2"/>
  <c r="E27" i="2"/>
  <c r="F29" i="2"/>
  <c r="F23" i="2"/>
  <c r="E22" i="2"/>
  <c r="E20" i="2"/>
  <c r="F21" i="2"/>
  <c r="E13" i="2"/>
  <c r="F13" i="2"/>
</calcChain>
</file>

<file path=xl/sharedStrings.xml><?xml version="1.0" encoding="utf-8"?>
<sst xmlns="http://schemas.openxmlformats.org/spreadsheetml/2006/main" count="115" uniqueCount="104">
  <si>
    <t>VIONARO H63</t>
  </si>
  <si>
    <t>VIONARO H89</t>
  </si>
  <si>
    <t>VIONARO H121</t>
  </si>
  <si>
    <t>VIONARO H185</t>
  </si>
  <si>
    <t>2. KORPUSTIEFE:</t>
  </si>
  <si>
    <t>Frontmindesthöhe</t>
  </si>
  <si>
    <t>Fronthöhe max.</t>
  </si>
  <si>
    <t>Pos. 1</t>
  </si>
  <si>
    <t>H89</t>
  </si>
  <si>
    <t>H185</t>
  </si>
  <si>
    <t>INNENSCHUBKASTEN HÖHE</t>
  </si>
  <si>
    <t>E.</t>
  </si>
  <si>
    <t>F.</t>
  </si>
  <si>
    <t>Pos. 2</t>
  </si>
  <si>
    <t>Pos. 3</t>
  </si>
  <si>
    <t>Pos. 4</t>
  </si>
  <si>
    <t>Bohrhöhe (Bohrhöhe Innenlade)</t>
  </si>
  <si>
    <t>A</t>
  </si>
  <si>
    <t>B</t>
  </si>
  <si>
    <t>C</t>
  </si>
  <si>
    <t>D</t>
  </si>
  <si>
    <t>DE</t>
  </si>
  <si>
    <t>EN</t>
  </si>
  <si>
    <t>IT</t>
  </si>
  <si>
    <t>FR</t>
  </si>
  <si>
    <t>ES</t>
  </si>
  <si>
    <t>SV</t>
  </si>
  <si>
    <t>RU</t>
  </si>
  <si>
    <t>TR</t>
  </si>
  <si>
    <t>Height of cabinet inside</t>
  </si>
  <si>
    <t>Legend</t>
  </si>
  <si>
    <t>Gap</t>
  </si>
  <si>
    <t>Front Panel</t>
  </si>
  <si>
    <t>1. Cabinet Side Panel:</t>
  </si>
  <si>
    <t>2. Measurement in Height</t>
  </si>
  <si>
    <t>3. Drawer box</t>
  </si>
  <si>
    <t>4. Inset drawer</t>
  </si>
  <si>
    <t>İç Boşluk Yüksekliği</t>
  </si>
  <si>
    <t>Delik Delme Yüksekliği (Delik delme Yüksekliği İç çekmece)</t>
  </si>
  <si>
    <t>Lejant</t>
  </si>
  <si>
    <t>Fuga</t>
  </si>
  <si>
    <t>Cephe</t>
  </si>
  <si>
    <t>1. Gövde Malzeme Kalınlığı</t>
  </si>
  <si>
    <t>2. Yükseklik Ölçüsü</t>
  </si>
  <si>
    <t>3. Çekmece</t>
  </si>
  <si>
    <t>4. İç çekmece</t>
  </si>
  <si>
    <t>Distance bottom to boring line (Distance bottom to boring line Inset drawer)</t>
  </si>
  <si>
    <t>1. Tjocklek skåpsida</t>
  </si>
  <si>
    <t>Innerhöjd skåp</t>
  </si>
  <si>
    <t>Avstånd från botten till hålrad (avstånd från botten till borrning för innerlåda)</t>
  </si>
  <si>
    <t>Fog</t>
  </si>
  <si>
    <t>Front</t>
  </si>
  <si>
    <t>2. Höjdmått</t>
  </si>
  <si>
    <t>3. Låda</t>
  </si>
  <si>
    <t>4. Inner låda</t>
  </si>
  <si>
    <t>Förklaring</t>
  </si>
  <si>
    <t>1. Espesor lateral mueble</t>
  </si>
  <si>
    <t>Altura interna mueble</t>
  </si>
  <si>
    <t>Distancia de altura linea taladros (Distancia altura linea taladros cajon interno)</t>
  </si>
  <si>
    <t>Legenda</t>
  </si>
  <si>
    <t>Panel frontal</t>
  </si>
  <si>
    <t>3. Tiroir</t>
  </si>
  <si>
    <r>
      <t>1. Épaisseur des c</t>
    </r>
    <r>
      <rPr>
        <sz val="11"/>
        <color theme="1"/>
        <rFont val="Calibri"/>
        <family val="2"/>
      </rPr>
      <t>ô</t>
    </r>
    <r>
      <rPr>
        <sz val="11"/>
        <color theme="1"/>
        <rFont val="Calibri"/>
        <family val="2"/>
        <scheme val="minor"/>
      </rPr>
      <t>tés de caisson</t>
    </r>
  </si>
  <si>
    <t>Hauteur intérieur de caisson</t>
  </si>
  <si>
    <r>
      <t>Hauteur de per</t>
    </r>
    <r>
      <rPr>
        <sz val="11"/>
        <color theme="1"/>
        <rFont val="Calibri"/>
        <family val="2"/>
      </rPr>
      <t>ç</t>
    </r>
    <r>
      <rPr>
        <sz val="11"/>
        <color theme="1"/>
        <rFont val="Calibri"/>
        <family val="2"/>
        <scheme val="minor"/>
      </rPr>
      <t>age (hauteur de percage tiroir intérieur)</t>
    </r>
  </si>
  <si>
    <t>Légende</t>
  </si>
  <si>
    <r>
      <t>Jeux entre fa</t>
    </r>
    <r>
      <rPr>
        <sz val="11"/>
        <color theme="1"/>
        <rFont val="Calibri"/>
        <family val="2"/>
      </rPr>
      <t>ç</t>
    </r>
    <r>
      <rPr>
        <sz val="11"/>
        <color theme="1"/>
        <rFont val="Calibri"/>
        <family val="2"/>
        <scheme val="minor"/>
      </rPr>
      <t>ade</t>
    </r>
  </si>
  <si>
    <t>2. Hauteur de façade</t>
  </si>
  <si>
    <t>Façade</t>
  </si>
  <si>
    <t>4. Tiroir intérieur</t>
  </si>
  <si>
    <t>1. Толщина боковой стенки</t>
  </si>
  <si>
    <t>Внутренняя высота</t>
  </si>
  <si>
    <t>Легенда</t>
  </si>
  <si>
    <t>Фуга</t>
  </si>
  <si>
    <t>Фасад</t>
  </si>
  <si>
    <t>2. Размер высоты</t>
  </si>
  <si>
    <t>3. Выдвижной ящик</t>
  </si>
  <si>
    <t>4. Внутренняя шина</t>
  </si>
  <si>
    <t>Высота сверления (высота сверления внутренней шины)</t>
  </si>
  <si>
    <t>Altezza interna mobile</t>
  </si>
  <si>
    <t>Pannello Frontale</t>
  </si>
  <si>
    <t>1. Fianco del Mobile</t>
  </si>
  <si>
    <t>Distanza foratura dal fondo  (Distanza foratura dal fondo cassetto interno)</t>
  </si>
  <si>
    <t>2. Misura in altezza</t>
  </si>
  <si>
    <t>3. Cassetto</t>
  </si>
  <si>
    <t>4. Cassetto interno</t>
  </si>
  <si>
    <t>2. Medida de altura</t>
  </si>
  <si>
    <t>3. Cajón</t>
  </si>
  <si>
    <t>4. Cajón interior</t>
  </si>
  <si>
    <t>Language:</t>
  </si>
  <si>
    <t xml:space="preserve">1. Korpusseitenstärke: </t>
  </si>
  <si>
    <t>Höhe Innenlichte</t>
  </si>
  <si>
    <t>Legende</t>
  </si>
  <si>
    <t>Fuge</t>
  </si>
  <si>
    <t>2. Höhenmaß</t>
  </si>
  <si>
    <t>3. Schubkasten</t>
  </si>
  <si>
    <t>4. Innenlade</t>
  </si>
  <si>
    <t>Alle Maße in Millimeter</t>
  </si>
  <si>
    <t>All dimensions in millimetres</t>
  </si>
  <si>
    <t>Toutes les mesures en millimètres</t>
  </si>
  <si>
    <t>Tutte le misure sono in millimetri</t>
  </si>
  <si>
    <t>Todas las medidas en milímetros</t>
  </si>
  <si>
    <t>Alla mått i millimeter</t>
  </si>
  <si>
    <t>Все размеры в миллиметрах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</si>
</sst>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theme="1"/>
      <name val="Veranda"/>
    </font>
    <font>
      <sz val="9"/>
      <color rgb="FFFF0000"/>
      <name val="Veranda"/>
    </font>
    <font>
      <b/>
      <sz val="9"/>
      <color rgb="FFFF0000"/>
      <name val="Veranda"/>
    </font>
    <font>
      <sz val="8"/>
      <color theme="1"/>
      <name val="Veranda"/>
    </font>
    <font>
      <sz val="8"/>
      <color rgb="FFFF0000"/>
      <name val="Veranda"/>
    </font>
    <font>
      <b/>
      <sz val="8"/>
      <color rgb="FFFF0000"/>
      <name val="Veranda"/>
    </font>
    <font>
      <b/>
      <sz val="8"/>
      <color theme="1"/>
      <name val="Veranda"/>
    </font>
    <font>
      <b/>
      <sz val="8"/>
      <color theme="0"/>
      <name val="Veranda"/>
    </font>
    <font>
      <sz val="8"/>
      <color theme="0"/>
      <name val="Veranda"/>
    </font>
    <font>
      <b/>
      <sz val="19"/>
      <color theme="1"/>
      <name val="Veranda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66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6" borderId="0" xfId="0" applyFont="1" applyFill="1"/>
    <xf numFmtId="0" fontId="3" fillId="6" borderId="0" xfId="0" applyFont="1" applyFill="1"/>
    <xf numFmtId="0" fontId="4" fillId="6" borderId="0" xfId="0" applyFont="1" applyFill="1"/>
    <xf numFmtId="0" fontId="2" fillId="2" borderId="0" xfId="0" applyFont="1" applyFill="1"/>
    <xf numFmtId="0" fontId="4" fillId="2" borderId="0" xfId="0" applyFont="1" applyFill="1"/>
    <xf numFmtId="0" fontId="5" fillId="6" borderId="0" xfId="0" applyFont="1" applyFill="1"/>
    <xf numFmtId="0" fontId="6" fillId="6" borderId="0" xfId="0" applyFont="1" applyFill="1"/>
    <xf numFmtId="0" fontId="5" fillId="2" borderId="0" xfId="0" applyFont="1" applyFill="1"/>
    <xf numFmtId="0" fontId="7" fillId="2" borderId="0" xfId="0" applyFont="1" applyFill="1"/>
    <xf numFmtId="0" fontId="8" fillId="2" borderId="0" xfId="0" applyFont="1" applyFill="1" applyAlignment="1">
      <alignment horizontal="right"/>
    </xf>
    <xf numFmtId="0" fontId="5" fillId="5" borderId="8" xfId="0" applyFont="1" applyFill="1" applyBorder="1" applyAlignment="1" applyProtection="1">
      <alignment horizontal="center"/>
      <protection locked="0"/>
    </xf>
    <xf numFmtId="0" fontId="9" fillId="4" borderId="9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6" fillId="6" borderId="0" xfId="0" applyFont="1" applyFill="1" applyAlignment="1">
      <alignment horizontal="left"/>
    </xf>
    <xf numFmtId="0" fontId="5" fillId="6" borderId="0" xfId="0" applyFont="1" applyFill="1" applyAlignment="1">
      <alignment horizontal="left"/>
    </xf>
    <xf numFmtId="0" fontId="9" fillId="4" borderId="8" xfId="0" applyFont="1" applyFill="1" applyBorder="1" applyAlignment="1">
      <alignment horizontal="center"/>
    </xf>
    <xf numFmtId="0" fontId="5" fillId="2" borderId="0" xfId="0" applyFont="1" applyFill="1" applyAlignment="1">
      <alignment horizontal="left"/>
    </xf>
    <xf numFmtId="0" fontId="7" fillId="2" borderId="0" xfId="0" applyFont="1" applyFill="1" applyAlignment="1">
      <alignment horizontal="center" vertical="center" textRotation="90"/>
    </xf>
    <xf numFmtId="0" fontId="5" fillId="2" borderId="1" xfId="0" applyFont="1" applyFill="1" applyBorder="1"/>
    <xf numFmtId="0" fontId="5" fillId="2" borderId="6" xfId="0" applyFont="1" applyFill="1" applyBorder="1"/>
    <xf numFmtId="0" fontId="5" fillId="2" borderId="2" xfId="0" applyFont="1" applyFill="1" applyBorder="1"/>
    <xf numFmtId="0" fontId="7" fillId="2" borderId="0" xfId="0" applyFont="1" applyFill="1" applyAlignment="1">
      <alignment horizontal="center" vertical="center"/>
    </xf>
    <xf numFmtId="0" fontId="5" fillId="3" borderId="0" xfId="0" applyFont="1" applyFill="1" applyAlignment="1" applyProtection="1">
      <alignment horizontal="center"/>
      <protection locked="0"/>
    </xf>
    <xf numFmtId="0" fontId="7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right"/>
    </xf>
    <xf numFmtId="0" fontId="5" fillId="2" borderId="5" xfId="0" applyFont="1" applyFill="1" applyBorder="1" applyAlignment="1">
      <alignment horizontal="left"/>
    </xf>
    <xf numFmtId="0" fontId="5" fillId="2" borderId="0" xfId="0" applyFont="1" applyFill="1" applyBorder="1"/>
    <xf numFmtId="0" fontId="5" fillId="2" borderId="4" xfId="0" applyFont="1" applyFill="1" applyBorder="1"/>
    <xf numFmtId="0" fontId="9" fillId="4" borderId="0" xfId="0" applyFont="1" applyFill="1" applyBorder="1" applyAlignment="1">
      <alignment horizontal="center"/>
    </xf>
    <xf numFmtId="0" fontId="5" fillId="5" borderId="0" xfId="0" applyFont="1" applyFill="1" applyBorder="1" applyAlignment="1" applyProtection="1">
      <alignment horizontal="center" vertical="center"/>
      <protection locked="0"/>
    </xf>
    <xf numFmtId="0" fontId="5" fillId="5" borderId="0" xfId="0" applyFont="1" applyFill="1" applyAlignment="1" applyProtection="1">
      <alignment vertical="center"/>
      <protection locked="0"/>
    </xf>
    <xf numFmtId="0" fontId="5" fillId="5" borderId="0" xfId="0" applyFont="1" applyFill="1" applyProtection="1">
      <protection locked="0"/>
    </xf>
    <xf numFmtId="0" fontId="5" fillId="3" borderId="0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vertical="center"/>
    </xf>
    <xf numFmtId="0" fontId="5" fillId="2" borderId="22" xfId="0" applyFont="1" applyFill="1" applyBorder="1"/>
    <xf numFmtId="0" fontId="5" fillId="2" borderId="1" xfId="0" applyFont="1" applyFill="1" applyBorder="1" applyAlignment="1">
      <alignment horizontal="left"/>
    </xf>
    <xf numFmtId="0" fontId="5" fillId="6" borderId="0" xfId="0" applyFont="1" applyFill="1" applyAlignment="1">
      <alignment horizontal="right"/>
    </xf>
    <xf numFmtId="0" fontId="7" fillId="6" borderId="0" xfId="0" applyFont="1" applyFill="1" applyAlignment="1">
      <alignment horizontal="left"/>
    </xf>
    <xf numFmtId="0" fontId="6" fillId="6" borderId="0" xfId="0" applyFont="1" applyFill="1" applyAlignment="1">
      <alignment horizontal="center"/>
    </xf>
    <xf numFmtId="0" fontId="5" fillId="2" borderId="3" xfId="0" applyFont="1" applyFill="1" applyBorder="1" applyAlignment="1">
      <alignment horizontal="left"/>
    </xf>
    <xf numFmtId="0" fontId="5" fillId="2" borderId="7" xfId="0" applyFont="1" applyFill="1" applyBorder="1"/>
    <xf numFmtId="0" fontId="2" fillId="2" borderId="0" xfId="0" applyFont="1" applyFill="1" applyBorder="1" applyAlignment="1">
      <alignment horizontal="right" vertical="center"/>
    </xf>
    <xf numFmtId="0" fontId="2" fillId="6" borderId="0" xfId="0" applyFont="1" applyFill="1" applyBorder="1"/>
    <xf numFmtId="0" fontId="11" fillId="2" borderId="0" xfId="0" applyFont="1" applyFill="1" applyAlignment="1"/>
    <xf numFmtId="0" fontId="5" fillId="5" borderId="8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Alignment="1">
      <alignment horizontal="center" vertical="center" textRotation="90"/>
    </xf>
    <xf numFmtId="0" fontId="9" fillId="4" borderId="12" xfId="0" applyFont="1" applyFill="1" applyBorder="1" applyAlignment="1">
      <alignment horizontal="left"/>
    </xf>
    <xf numFmtId="0" fontId="9" fillId="4" borderId="13" xfId="0" applyFont="1" applyFill="1" applyBorder="1" applyAlignment="1">
      <alignment horizontal="left"/>
    </xf>
    <xf numFmtId="0" fontId="5" fillId="2" borderId="0" xfId="0" applyFont="1" applyFill="1" applyAlignment="1">
      <alignment horizontal="center"/>
    </xf>
    <xf numFmtId="0" fontId="9" fillId="2" borderId="0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339966"/>
      <color rgb="FF339933"/>
      <color rgb="FF006600"/>
      <color rgb="FF008000"/>
      <color rgb="FF336600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218690</xdr:colOff>
      <xdr:row>15</xdr:row>
      <xdr:rowOff>47625</xdr:rowOff>
    </xdr:from>
    <xdr:to>
      <xdr:col>8</xdr:col>
      <xdr:colOff>226218</xdr:colOff>
      <xdr:row>22</xdr:row>
      <xdr:rowOff>159803</xdr:rowOff>
    </xdr:to>
    <xdr:cxnSp macro="">
      <xdr:nvCxnSpPr>
        <xdr:cNvPr id="8" name="Gerade Verbindung mit Pfeil 7"/>
        <xdr:cNvCxnSpPr/>
      </xdr:nvCxnSpPr>
      <xdr:spPr>
        <a:xfrm flipV="1">
          <a:off x="1903424" y="2238375"/>
          <a:ext cx="7528" cy="1237319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866775</xdr:colOff>
      <xdr:row>10</xdr:row>
      <xdr:rowOff>133350</xdr:rowOff>
    </xdr:from>
    <xdr:to>
      <xdr:col>10</xdr:col>
      <xdr:colOff>57150</xdr:colOff>
      <xdr:row>23</xdr:row>
      <xdr:rowOff>66675</xdr:rowOff>
    </xdr:to>
    <xdr:sp macro="" textlink="">
      <xdr:nvSpPr>
        <xdr:cNvPr id="10" name="Rechteck 9"/>
        <xdr:cNvSpPr/>
      </xdr:nvSpPr>
      <xdr:spPr>
        <a:xfrm>
          <a:off x="4467225" y="1085850"/>
          <a:ext cx="1085850" cy="2409825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>
    <xdr:from>
      <xdr:col>6</xdr:col>
      <xdr:colOff>276225</xdr:colOff>
      <xdr:row>9</xdr:row>
      <xdr:rowOff>9525</xdr:rowOff>
    </xdr:from>
    <xdr:to>
      <xdr:col>6</xdr:col>
      <xdr:colOff>876301</xdr:colOff>
      <xdr:row>10</xdr:row>
      <xdr:rowOff>133352</xdr:rowOff>
    </xdr:to>
    <xdr:cxnSp macro="">
      <xdr:nvCxnSpPr>
        <xdr:cNvPr id="16" name="Gerade Verbindung 15"/>
        <xdr:cNvCxnSpPr/>
      </xdr:nvCxnSpPr>
      <xdr:spPr>
        <a:xfrm flipH="1" flipV="1">
          <a:off x="3876675" y="771525"/>
          <a:ext cx="600076" cy="31432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266700</xdr:colOff>
      <xdr:row>21</xdr:row>
      <xdr:rowOff>133350</xdr:rowOff>
    </xdr:from>
    <xdr:to>
      <xdr:col>6</xdr:col>
      <xdr:colOff>866776</xdr:colOff>
      <xdr:row>23</xdr:row>
      <xdr:rowOff>66677</xdr:rowOff>
    </xdr:to>
    <xdr:cxnSp macro="">
      <xdr:nvCxnSpPr>
        <xdr:cNvPr id="17" name="Gerade Verbindung 16"/>
        <xdr:cNvCxnSpPr/>
      </xdr:nvCxnSpPr>
      <xdr:spPr>
        <a:xfrm flipH="1" flipV="1">
          <a:off x="3867150" y="3181350"/>
          <a:ext cx="600076" cy="31432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265339</xdr:colOff>
      <xdr:row>9</xdr:row>
      <xdr:rowOff>9526</xdr:rowOff>
    </xdr:from>
    <xdr:to>
      <xdr:col>6</xdr:col>
      <xdr:colOff>276906</xdr:colOff>
      <xdr:row>21</xdr:row>
      <xdr:rowOff>136071</xdr:rowOff>
    </xdr:to>
    <xdr:cxnSp macro="">
      <xdr:nvCxnSpPr>
        <xdr:cNvPr id="18" name="Gerade Verbindung 17"/>
        <xdr:cNvCxnSpPr/>
      </xdr:nvCxnSpPr>
      <xdr:spPr>
        <a:xfrm flipV="1">
          <a:off x="3867830" y="771526"/>
          <a:ext cx="11567" cy="241254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278948</xdr:colOff>
      <xdr:row>9</xdr:row>
      <xdr:rowOff>5953</xdr:rowOff>
    </xdr:from>
    <xdr:to>
      <xdr:col>8</xdr:col>
      <xdr:colOff>428625</xdr:colOff>
      <xdr:row>9</xdr:row>
      <xdr:rowOff>13607</xdr:rowOff>
    </xdr:to>
    <xdr:cxnSp macro="">
      <xdr:nvCxnSpPr>
        <xdr:cNvPr id="22" name="Gerade Verbindung 21"/>
        <xdr:cNvCxnSpPr/>
      </xdr:nvCxnSpPr>
      <xdr:spPr>
        <a:xfrm flipH="1">
          <a:off x="517073" y="1863328"/>
          <a:ext cx="1596286" cy="765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148828</xdr:colOff>
      <xdr:row>10</xdr:row>
      <xdr:rowOff>151901</xdr:rowOff>
    </xdr:from>
    <xdr:to>
      <xdr:col>10</xdr:col>
      <xdr:colOff>151400</xdr:colOff>
      <xdr:row>17</xdr:row>
      <xdr:rowOff>65484</xdr:rowOff>
    </xdr:to>
    <xdr:cxnSp macro="">
      <xdr:nvCxnSpPr>
        <xdr:cNvPr id="30" name="Gerade Verbindung mit Pfeil 29"/>
        <xdr:cNvCxnSpPr/>
      </xdr:nvCxnSpPr>
      <xdr:spPr>
        <a:xfrm flipV="1">
          <a:off x="2797969" y="2181917"/>
          <a:ext cx="2572" cy="395786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148828</xdr:colOff>
      <xdr:row>20</xdr:row>
      <xdr:rowOff>107156</xdr:rowOff>
    </xdr:from>
    <xdr:to>
      <xdr:col>10</xdr:col>
      <xdr:colOff>150395</xdr:colOff>
      <xdr:row>23</xdr:row>
      <xdr:rowOff>69181</xdr:rowOff>
    </xdr:to>
    <xdr:cxnSp macro="">
      <xdr:nvCxnSpPr>
        <xdr:cNvPr id="32" name="Gerade Verbindung mit Pfeil 31"/>
        <xdr:cNvCxnSpPr/>
      </xdr:nvCxnSpPr>
      <xdr:spPr>
        <a:xfrm>
          <a:off x="2797969" y="3101578"/>
          <a:ext cx="1567" cy="444228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471236</xdr:colOff>
      <xdr:row>21</xdr:row>
      <xdr:rowOff>35091</xdr:rowOff>
    </xdr:from>
    <xdr:to>
      <xdr:col>6</xdr:col>
      <xdr:colOff>862263</xdr:colOff>
      <xdr:row>22</xdr:row>
      <xdr:rowOff>53142</xdr:rowOff>
    </xdr:to>
    <xdr:cxnSp macro="">
      <xdr:nvCxnSpPr>
        <xdr:cNvPr id="35" name="Gerade Verbindung 34"/>
        <xdr:cNvCxnSpPr/>
      </xdr:nvCxnSpPr>
      <xdr:spPr>
        <a:xfrm flipH="1" flipV="1">
          <a:off x="4015539" y="3083091"/>
          <a:ext cx="391027" cy="208551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468228</xdr:colOff>
      <xdr:row>19</xdr:row>
      <xdr:rowOff>47120</xdr:rowOff>
    </xdr:from>
    <xdr:to>
      <xdr:col>6</xdr:col>
      <xdr:colOff>859255</xdr:colOff>
      <xdr:row>20</xdr:row>
      <xdr:rowOff>65171</xdr:rowOff>
    </xdr:to>
    <xdr:cxnSp macro="">
      <xdr:nvCxnSpPr>
        <xdr:cNvPr id="37" name="Gerade Verbindung 36"/>
        <xdr:cNvCxnSpPr/>
      </xdr:nvCxnSpPr>
      <xdr:spPr>
        <a:xfrm flipH="1" flipV="1">
          <a:off x="4012531" y="2714120"/>
          <a:ext cx="391027" cy="208551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470233</xdr:colOff>
      <xdr:row>17</xdr:row>
      <xdr:rowOff>9021</xdr:rowOff>
    </xdr:from>
    <xdr:to>
      <xdr:col>6</xdr:col>
      <xdr:colOff>861260</xdr:colOff>
      <xdr:row>18</xdr:row>
      <xdr:rowOff>27072</xdr:rowOff>
    </xdr:to>
    <xdr:cxnSp macro="">
      <xdr:nvCxnSpPr>
        <xdr:cNvPr id="38" name="Gerade Verbindung 37"/>
        <xdr:cNvCxnSpPr/>
      </xdr:nvCxnSpPr>
      <xdr:spPr>
        <a:xfrm flipH="1" flipV="1">
          <a:off x="4014536" y="2295021"/>
          <a:ext cx="391027" cy="208551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477252</xdr:colOff>
      <xdr:row>15</xdr:row>
      <xdr:rowOff>16040</xdr:rowOff>
    </xdr:from>
    <xdr:to>
      <xdr:col>6</xdr:col>
      <xdr:colOff>868279</xdr:colOff>
      <xdr:row>16</xdr:row>
      <xdr:rowOff>34091</xdr:rowOff>
    </xdr:to>
    <xdr:cxnSp macro="">
      <xdr:nvCxnSpPr>
        <xdr:cNvPr id="39" name="Gerade Verbindung 38"/>
        <xdr:cNvCxnSpPr/>
      </xdr:nvCxnSpPr>
      <xdr:spPr>
        <a:xfrm flipH="1" flipV="1">
          <a:off x="4021555" y="1921040"/>
          <a:ext cx="391027" cy="208551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469231</xdr:colOff>
      <xdr:row>13</xdr:row>
      <xdr:rowOff>53136</xdr:rowOff>
    </xdr:from>
    <xdr:to>
      <xdr:col>6</xdr:col>
      <xdr:colOff>860258</xdr:colOff>
      <xdr:row>14</xdr:row>
      <xdr:rowOff>71187</xdr:rowOff>
    </xdr:to>
    <xdr:cxnSp macro="">
      <xdr:nvCxnSpPr>
        <xdr:cNvPr id="40" name="Gerade Verbindung 39"/>
        <xdr:cNvCxnSpPr/>
      </xdr:nvCxnSpPr>
      <xdr:spPr>
        <a:xfrm flipH="1" flipV="1">
          <a:off x="4013534" y="1577136"/>
          <a:ext cx="391027" cy="208551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471237</xdr:colOff>
      <xdr:row>11</xdr:row>
      <xdr:rowOff>60155</xdr:rowOff>
    </xdr:from>
    <xdr:to>
      <xdr:col>6</xdr:col>
      <xdr:colOff>862264</xdr:colOff>
      <xdr:row>12</xdr:row>
      <xdr:rowOff>78206</xdr:rowOff>
    </xdr:to>
    <xdr:cxnSp macro="">
      <xdr:nvCxnSpPr>
        <xdr:cNvPr id="41" name="Gerade Verbindung 40"/>
        <xdr:cNvCxnSpPr/>
      </xdr:nvCxnSpPr>
      <xdr:spPr>
        <a:xfrm flipH="1" flipV="1">
          <a:off x="4015540" y="1203155"/>
          <a:ext cx="391027" cy="208551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429816</xdr:colOff>
      <xdr:row>9</xdr:row>
      <xdr:rowOff>3572</xdr:rowOff>
    </xdr:from>
    <xdr:to>
      <xdr:col>10</xdr:col>
      <xdr:colOff>65485</xdr:colOff>
      <xdr:row>10</xdr:row>
      <xdr:rowOff>127399</xdr:rowOff>
    </xdr:to>
    <xdr:cxnSp macro="">
      <xdr:nvCxnSpPr>
        <xdr:cNvPr id="45" name="Gerade Verbindung 44"/>
        <xdr:cNvCxnSpPr/>
      </xdr:nvCxnSpPr>
      <xdr:spPr>
        <a:xfrm flipH="1" flipV="1">
          <a:off x="2114550" y="1860947"/>
          <a:ext cx="600076" cy="29646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232172</xdr:colOff>
      <xdr:row>1</xdr:row>
      <xdr:rowOff>1</xdr:rowOff>
    </xdr:from>
    <xdr:to>
      <xdr:col>18</xdr:col>
      <xdr:colOff>11906</xdr:colOff>
      <xdr:row>2</xdr:row>
      <xdr:rowOff>21312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172" y="154782"/>
          <a:ext cx="8233172" cy="628530"/>
        </a:xfrm>
        <a:prstGeom prst="rect">
          <a:avLst/>
        </a:prstGeom>
      </xdr:spPr>
    </xdr:pic>
    <xdr:clientData/>
  </xdr:twoCellAnchor>
  <xdr:twoCellAnchor>
    <xdr:from>
      <xdr:col>8</xdr:col>
      <xdr:colOff>333375</xdr:colOff>
      <xdr:row>1</xdr:row>
      <xdr:rowOff>232173</xdr:rowOff>
    </xdr:from>
    <xdr:to>
      <xdr:col>12</xdr:col>
      <xdr:colOff>410765</xdr:colOff>
      <xdr:row>3</xdr:row>
      <xdr:rowOff>136923</xdr:rowOff>
    </xdr:to>
    <xdr:sp macro="" textlink="">
      <xdr:nvSpPr>
        <xdr:cNvPr id="11" name="Textfeld 10"/>
        <xdr:cNvSpPr txBox="1"/>
      </xdr:nvSpPr>
      <xdr:spPr>
        <a:xfrm>
          <a:off x="2321719" y="386954"/>
          <a:ext cx="1637109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18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VIONARO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tabSelected="1" topLeftCell="F1" zoomScale="160" zoomScaleNormal="160" workbookViewId="0">
      <selection activeCell="I4" sqref="I4"/>
    </sheetView>
  </sheetViews>
  <sheetFormatPr baseColWidth="10" defaultRowHeight="12"/>
  <cols>
    <col min="1" max="1" width="17.85546875" style="15" hidden="1" customWidth="1"/>
    <col min="2" max="2" width="17.42578125" style="16" hidden="1" customWidth="1"/>
    <col min="3" max="3" width="4" style="16" hidden="1" customWidth="1"/>
    <col min="4" max="4" width="11.42578125" style="16" hidden="1" customWidth="1"/>
    <col min="5" max="5" width="13.85546875" style="16" hidden="1" customWidth="1"/>
    <col min="6" max="6" width="3.5703125" style="15" customWidth="1"/>
    <col min="7" max="7" width="13.85546875" style="15" customWidth="1"/>
    <col min="8" max="8" width="12.42578125" style="15" customWidth="1"/>
    <col min="9" max="9" width="9.28515625" style="15" customWidth="1"/>
    <col min="10" max="10" width="5.140625" style="15" customWidth="1"/>
    <col min="11" max="12" width="4.42578125" style="15" customWidth="1"/>
    <col min="13" max="13" width="21.7109375" style="15" bestFit="1" customWidth="1"/>
    <col min="14" max="14" width="3.7109375" style="17" customWidth="1"/>
    <col min="15" max="15" width="20" style="15" customWidth="1"/>
    <col min="16" max="16" width="4.28515625" style="15" customWidth="1"/>
    <col min="17" max="17" width="20" style="15" customWidth="1"/>
    <col min="18" max="18" width="3.85546875" style="15" customWidth="1"/>
    <col min="19" max="16384" width="11.42578125" style="15"/>
  </cols>
  <sheetData>
    <row r="1" spans="2:18">
      <c r="R1" s="60"/>
    </row>
    <row r="2" spans="2:18" ht="48" customHeight="1">
      <c r="G2" s="18"/>
      <c r="H2" s="18"/>
      <c r="I2" s="18"/>
      <c r="J2" s="18"/>
      <c r="K2" s="18"/>
      <c r="L2" s="18"/>
      <c r="M2" s="18"/>
      <c r="N2" s="19"/>
      <c r="O2" s="18"/>
      <c r="P2" s="18"/>
    </row>
    <row r="3" spans="2:18" ht="9" customHeight="1" thickBot="1">
      <c r="G3" s="18"/>
      <c r="H3" s="18"/>
      <c r="I3" s="18"/>
      <c r="J3" s="18"/>
      <c r="K3" s="18"/>
      <c r="L3" s="18"/>
      <c r="M3" s="18"/>
      <c r="N3" s="19"/>
      <c r="O3" s="18"/>
      <c r="P3" s="18"/>
      <c r="Q3" s="18"/>
      <c r="R3" s="42"/>
    </row>
    <row r="4" spans="2:18" ht="14.25" customHeight="1" thickBot="1">
      <c r="G4" s="18"/>
      <c r="H4" s="59" t="s">
        <v>89</v>
      </c>
      <c r="I4" s="62" t="s">
        <v>21</v>
      </c>
      <c r="J4" s="61"/>
      <c r="K4" s="18"/>
      <c r="L4" s="18"/>
      <c r="M4" s="18"/>
      <c r="N4" s="19"/>
      <c r="O4" s="18"/>
      <c r="P4" s="18"/>
      <c r="Q4" s="18"/>
      <c r="R4" s="42"/>
    </row>
    <row r="5" spans="2:18" s="20" customFormat="1" ht="12.75" customHeight="1" thickBot="1">
      <c r="B5" s="21"/>
      <c r="C5" s="21"/>
      <c r="D5" s="21"/>
      <c r="E5" s="21"/>
      <c r="G5" s="24"/>
      <c r="H5" s="24"/>
      <c r="I5" s="24"/>
      <c r="J5" s="24"/>
      <c r="K5" s="22"/>
      <c r="L5" s="22"/>
      <c r="M5" s="22"/>
      <c r="N5" s="23"/>
      <c r="O5" s="22"/>
      <c r="P5" s="22"/>
      <c r="Q5" s="22"/>
      <c r="R5" s="22"/>
    </row>
    <row r="6" spans="2:18" s="20" customFormat="1" thickBot="1">
      <c r="B6" s="21"/>
      <c r="C6" s="21"/>
      <c r="D6" s="21"/>
      <c r="E6" s="21"/>
      <c r="G6" s="64" t="str">
        <f>HLOOKUP(I4,Sprachen!A2:H11,2,FALSE)</f>
        <v xml:space="preserve">1. Korpusseitenstärke: </v>
      </c>
      <c r="H6" s="65"/>
      <c r="I6" s="25"/>
      <c r="J6" s="22"/>
      <c r="K6" s="22"/>
      <c r="L6" s="22"/>
      <c r="M6" s="26" t="str">
        <f>HLOOKUP(I4,Übersetzung,5,FALSE)</f>
        <v>Legende</v>
      </c>
      <c r="N6" s="23"/>
      <c r="O6" s="22"/>
      <c r="P6" s="22"/>
      <c r="Q6" s="22"/>
      <c r="R6" s="22"/>
    </row>
    <row r="7" spans="2:18" s="20" customFormat="1" ht="11.25">
      <c r="B7" s="21"/>
      <c r="C7" s="21"/>
      <c r="D7" s="21"/>
      <c r="E7" s="21"/>
      <c r="G7" s="67" t="s">
        <v>4</v>
      </c>
      <c r="H7" s="67"/>
      <c r="I7" s="27">
        <v>550</v>
      </c>
      <c r="J7" s="22"/>
      <c r="K7" s="22"/>
      <c r="L7" s="22"/>
      <c r="M7" s="28" t="str">
        <f>HLOOKUP(I4,Übersetzung,6,FALSE)</f>
        <v>Fuge</v>
      </c>
      <c r="N7" s="23"/>
      <c r="O7" s="22"/>
      <c r="P7" s="22"/>
      <c r="Q7" s="22"/>
      <c r="R7" s="22"/>
    </row>
    <row r="8" spans="2:18" s="20" customFormat="1" thickBot="1">
      <c r="B8" s="21"/>
      <c r="C8" s="21"/>
      <c r="D8" s="21"/>
      <c r="E8" s="21"/>
      <c r="G8" s="66" t="str">
        <f>HLOOKUP(I4,Sprachen!A2:H11,3,FALSE)</f>
        <v>Höhe Innenlichte</v>
      </c>
      <c r="H8" s="66"/>
      <c r="I8" s="29" t="str">
        <f>IF(M23="","",(SUM(M12:M24))-(I6*2))</f>
        <v/>
      </c>
      <c r="J8" s="22"/>
      <c r="K8" s="22"/>
      <c r="L8" s="22"/>
      <c r="M8" s="30" t="str">
        <f>HLOOKUP(I4,Übersetzung,7,FALSE)</f>
        <v>Front</v>
      </c>
      <c r="N8" s="23"/>
      <c r="O8" s="22"/>
      <c r="P8" s="22"/>
      <c r="Q8" s="22"/>
      <c r="R8" s="22"/>
    </row>
    <row r="9" spans="2:18" s="20" customFormat="1" thickBot="1">
      <c r="B9" s="21"/>
      <c r="C9" s="21"/>
      <c r="D9" s="21"/>
      <c r="E9" s="21"/>
      <c r="G9" s="22"/>
      <c r="H9" s="22"/>
      <c r="I9" s="22"/>
      <c r="J9" s="22"/>
      <c r="K9" s="22"/>
      <c r="L9" s="22"/>
      <c r="M9" s="22"/>
      <c r="N9" s="23"/>
      <c r="O9" s="22"/>
      <c r="P9" s="22"/>
      <c r="Q9" s="22"/>
      <c r="R9" s="22"/>
    </row>
    <row r="10" spans="2:18" s="20" customFormat="1" thickBot="1">
      <c r="B10" s="21"/>
      <c r="C10" s="21"/>
      <c r="D10" s="21"/>
      <c r="E10" s="31"/>
      <c r="F10" s="32"/>
      <c r="G10" s="22"/>
      <c r="H10" s="22"/>
      <c r="I10" s="22"/>
      <c r="J10" s="22"/>
      <c r="K10" s="22"/>
      <c r="L10" s="22"/>
      <c r="M10" s="33" t="str">
        <f>HLOOKUP(I4,Übersetzung,8,FALSE)</f>
        <v>2. Höhenmaß</v>
      </c>
      <c r="N10" s="23"/>
      <c r="O10" s="33" t="str">
        <f>HLOOKUP(I4,Übersetzung,9,FALSE)</f>
        <v>3. Schubkasten</v>
      </c>
      <c r="P10" s="22"/>
      <c r="Q10" s="33" t="str">
        <f>HLOOKUP(I4,Übersetzung,10,FALSE)</f>
        <v>4. Innenlade</v>
      </c>
      <c r="R10" s="22"/>
    </row>
    <row r="11" spans="2:18" s="20" customFormat="1" ht="11.25">
      <c r="B11" s="21"/>
      <c r="C11" s="21"/>
      <c r="D11" s="21"/>
      <c r="E11" s="21"/>
      <c r="G11" s="34"/>
      <c r="H11" s="22"/>
      <c r="I11" s="22"/>
      <c r="J11" s="22"/>
      <c r="K11" s="63" t="str">
        <f>IF(M23="","",SUM(M12:M24))</f>
        <v/>
      </c>
      <c r="L11" s="35"/>
      <c r="M11" s="22"/>
      <c r="N11" s="23"/>
      <c r="O11" s="22"/>
      <c r="P11" s="22"/>
      <c r="Q11" s="22"/>
      <c r="R11" s="22"/>
    </row>
    <row r="12" spans="2:18" s="20" customFormat="1" ht="11.25" hidden="1">
      <c r="B12" s="21"/>
      <c r="C12" s="21"/>
      <c r="D12" s="21">
        <f>SUM(D13:D23)</f>
        <v>0</v>
      </c>
      <c r="E12" s="21"/>
      <c r="G12" s="22"/>
      <c r="H12" s="36"/>
      <c r="I12" s="37"/>
      <c r="J12" s="38"/>
      <c r="K12" s="63"/>
      <c r="L12" s="39"/>
      <c r="M12" s="40"/>
      <c r="N12" s="41"/>
      <c r="O12" s="22"/>
      <c r="P12" s="22"/>
      <c r="Q12" s="22"/>
      <c r="R12" s="22"/>
    </row>
    <row r="13" spans="2:18" s="20" customFormat="1" ht="11.25" hidden="1">
      <c r="B13" s="21"/>
      <c r="C13" s="21"/>
      <c r="D13" s="31" t="str">
        <f>IF(O13="","",(VLOOKUP(O13,Formeln!A2:C5,3,FALSE)))</f>
        <v/>
      </c>
      <c r="E13" s="21"/>
      <c r="G13" s="42"/>
      <c r="H13" s="43" t="str">
        <f>IF((OR((O13=""),(D12&gt;I8))),"",(M24+M23+M22+M21+M20+M19+M18+M17+M16+M15+M14+42-I6))</f>
        <v/>
      </c>
      <c r="I13" s="44"/>
      <c r="J13" s="45"/>
      <c r="K13" s="63"/>
      <c r="L13" s="46" t="s">
        <v>12</v>
      </c>
      <c r="M13" s="47"/>
      <c r="N13" s="41" t="str">
        <f>IF(O13="","",(IF(((VLOOKUP(O13,Formeln!$A$2:$D$5,4,FALSE))&gt;M13),"!!!","")))</f>
        <v/>
      </c>
      <c r="O13" s="48"/>
      <c r="P13" s="22"/>
      <c r="Q13" s="49"/>
      <c r="R13" s="22"/>
    </row>
    <row r="14" spans="2:18" s="20" customFormat="1" ht="11.25" hidden="1">
      <c r="B14" s="21"/>
      <c r="C14" s="21"/>
      <c r="D14" s="21"/>
      <c r="E14" s="21"/>
      <c r="G14" s="22"/>
      <c r="H14" s="43"/>
      <c r="I14" s="44"/>
      <c r="J14" s="38"/>
      <c r="K14" s="63"/>
      <c r="L14" s="39"/>
      <c r="M14" s="50"/>
      <c r="N14" s="41"/>
      <c r="O14" s="51"/>
      <c r="P14" s="22"/>
      <c r="Q14" s="22"/>
      <c r="R14" s="22"/>
    </row>
    <row r="15" spans="2:18" s="20" customFormat="1" ht="11.25" hidden="1">
      <c r="B15" s="21"/>
      <c r="C15" s="21"/>
      <c r="D15" s="31" t="str">
        <f>IF(O15="","",(VLOOKUP(O15,Formeln!A2:C5,3,FALSE)))</f>
        <v/>
      </c>
      <c r="E15" s="21"/>
      <c r="G15" s="42"/>
      <c r="H15" s="43" t="str">
        <f>IF((OR((O15=""),(D12&gt;I8))),"",(M24+M23+M22+M21+M20+M19+M18+M17+M16+42-I6))</f>
        <v/>
      </c>
      <c r="I15" s="44"/>
      <c r="J15" s="52"/>
      <c r="K15" s="63"/>
      <c r="L15" s="46" t="s">
        <v>11</v>
      </c>
      <c r="M15" s="47"/>
      <c r="N15" s="41" t="str">
        <f>IF(O15="","",(IF(((VLOOKUP(O15,Formeln!$A$2:$D$5,4,FALSE))&gt;M15),"!!!","")))</f>
        <v/>
      </c>
      <c r="O15" s="48"/>
      <c r="P15" s="22"/>
      <c r="Q15" s="49"/>
      <c r="R15" s="22"/>
    </row>
    <row r="16" spans="2:18" s="20" customFormat="1" ht="11.25">
      <c r="B16" s="21"/>
      <c r="C16" s="21"/>
      <c r="D16" s="21"/>
      <c r="E16" s="21"/>
      <c r="G16" s="22"/>
      <c r="H16" s="53"/>
      <c r="I16" s="37"/>
      <c r="J16" s="38"/>
      <c r="K16" s="63"/>
      <c r="L16" s="39"/>
      <c r="M16" s="50"/>
      <c r="N16" s="41"/>
      <c r="O16" s="51"/>
      <c r="P16" s="22"/>
      <c r="Q16" s="22"/>
      <c r="R16" s="22"/>
    </row>
    <row r="17" spans="1:18" s="20" customFormat="1" ht="11.25">
      <c r="A17" s="54"/>
      <c r="B17" s="21"/>
      <c r="C17" s="55"/>
      <c r="D17" s="31" t="str">
        <f>IF(O17="","",(VLOOKUP(O17,Formeln!A2:C5,3,FALSE)))</f>
        <v/>
      </c>
      <c r="E17" s="21"/>
      <c r="G17" s="42"/>
      <c r="H17" s="43" t="str">
        <f>CONCATENATE((IF((OR((O17=""),(D12&gt;I8))),"",(M24+M23+M22+M21+M20+M19+M18+42-I6))),(IF(Q17="","",CONCATENATE(" ( ",(M24+M23+M22+M21+M20+M19+M18+42-I6+(VLOOKUP(O17,Formeln!A2:F5,4,FALSE)))," )"))))</f>
        <v/>
      </c>
      <c r="I17" s="44"/>
      <c r="J17" s="45"/>
      <c r="K17" s="63"/>
      <c r="L17" s="46" t="s">
        <v>20</v>
      </c>
      <c r="M17" s="47"/>
      <c r="N17" s="41"/>
      <c r="O17" s="48"/>
      <c r="P17" s="22"/>
      <c r="Q17" s="49"/>
      <c r="R17" s="22"/>
    </row>
    <row r="18" spans="1:18" s="20" customFormat="1" ht="11.25">
      <c r="B18" s="21"/>
      <c r="C18" s="56"/>
      <c r="D18" s="21"/>
      <c r="E18" s="21"/>
      <c r="G18" s="22"/>
      <c r="H18" s="43"/>
      <c r="I18" s="44"/>
      <c r="J18" s="38"/>
      <c r="K18" s="63"/>
      <c r="L18" s="39"/>
      <c r="M18" s="50"/>
      <c r="N18" s="41"/>
      <c r="O18" s="51"/>
      <c r="P18" s="22"/>
      <c r="Q18" s="22"/>
      <c r="R18" s="22"/>
    </row>
    <row r="19" spans="1:18" s="20" customFormat="1" ht="11.25">
      <c r="B19" s="21"/>
      <c r="C19" s="21"/>
      <c r="D19" s="31" t="str">
        <f>IF(O19="","",(VLOOKUP(O19,Formeln!A2:C5,3,FALSE)))</f>
        <v/>
      </c>
      <c r="E19" s="21"/>
      <c r="G19" s="42"/>
      <c r="H19" s="43" t="str">
        <f>CONCATENATE((IF((OR((O19=""),(D12&gt;I8))),"",(M24+M23+M22+M21+M20+42-I6))),(IF(Q19="","",CONCATENATE(" ( ",(M24+M23+M22+M21+M20+42-I6+(VLOOKUP(O19,Formeln!A2:F5,4,FALSE)))," )"))))</f>
        <v/>
      </c>
      <c r="I19" s="44"/>
      <c r="J19" s="45"/>
      <c r="K19" s="63"/>
      <c r="L19" s="46" t="s">
        <v>19</v>
      </c>
      <c r="M19" s="47"/>
      <c r="N19" s="41" t="str">
        <f>IF(O19="","",(IF(((VLOOKUP(O19,Formeln!$A$2:$D$5,4,FALSE))&gt;M19),"!!!","")))</f>
        <v/>
      </c>
      <c r="O19" s="48"/>
      <c r="P19" s="22"/>
      <c r="Q19" s="49"/>
      <c r="R19" s="22"/>
    </row>
    <row r="20" spans="1:18" s="20" customFormat="1" ht="11.25">
      <c r="B20" s="21"/>
      <c r="C20" s="21"/>
      <c r="D20" s="56"/>
      <c r="E20" s="21"/>
      <c r="G20" s="22"/>
      <c r="H20" s="43"/>
      <c r="I20" s="44"/>
      <c r="J20" s="38"/>
      <c r="K20" s="63"/>
      <c r="L20" s="39"/>
      <c r="M20" s="50"/>
      <c r="N20" s="41"/>
      <c r="O20" s="51"/>
      <c r="P20" s="22"/>
      <c r="Q20" s="22"/>
      <c r="R20" s="22"/>
    </row>
    <row r="21" spans="1:18" s="20" customFormat="1" ht="11.25">
      <c r="B21" s="21"/>
      <c r="C21" s="21"/>
      <c r="D21" s="31" t="str">
        <f>IF(O21="","",(VLOOKUP(O21,Formeln!A2:C5,3,FALSE)))</f>
        <v/>
      </c>
      <c r="E21" s="21"/>
      <c r="G21" s="42"/>
      <c r="H21" s="43" t="str">
        <f>CONCATENATE((IF((OR((O21=""),(D12&gt;I8))),"",(M24+M23+M22+42-I6))),(IF(Q21="","",CONCATENATE(" ( ",(M24+M23+M22+42-I6+(VLOOKUP(O21,Formeln!A2:F5,4,FALSE)))," )"))))</f>
        <v/>
      </c>
      <c r="I21" s="44"/>
      <c r="J21" s="45"/>
      <c r="K21" s="63"/>
      <c r="L21" s="46" t="s">
        <v>18</v>
      </c>
      <c r="M21" s="47"/>
      <c r="N21" s="41" t="str">
        <f>IF(O21="","",(IF(((VLOOKUP(O21,Formeln!$A$2:$D$5,4,FALSE))&gt;M21),"!!!","")))</f>
        <v/>
      </c>
      <c r="O21" s="48"/>
      <c r="P21" s="22"/>
      <c r="Q21" s="49"/>
      <c r="R21" s="22"/>
    </row>
    <row r="22" spans="1:18" s="20" customFormat="1" ht="11.25">
      <c r="B22" s="31"/>
      <c r="C22" s="21"/>
      <c r="D22" s="21"/>
      <c r="E22" s="21"/>
      <c r="G22" s="22"/>
      <c r="H22" s="43"/>
      <c r="I22" s="44"/>
      <c r="J22" s="38"/>
      <c r="K22" s="63"/>
      <c r="L22" s="39"/>
      <c r="M22" s="40"/>
      <c r="N22" s="41"/>
      <c r="O22" s="51"/>
      <c r="P22" s="22"/>
      <c r="Q22" s="22"/>
      <c r="R22" s="22"/>
    </row>
    <row r="23" spans="1:18" s="20" customFormat="1" ht="11.25">
      <c r="B23" s="21"/>
      <c r="C23" s="21"/>
      <c r="D23" s="31" t="str">
        <f>IF(O23="","",(VLOOKUP(O23,Formeln!A2:C5,3,FALSE)))</f>
        <v/>
      </c>
      <c r="E23" s="21"/>
      <c r="G23" s="42"/>
      <c r="H23" s="57" t="str">
        <f>CONCATENATE((IF((OR((O23=""),(D12&gt;I8))),"","37")),IF(Q23="","",(CONCATENATE(" ( ",(VLOOKUP(O23,Formeln!A2:F5,6,FALSE))," )"))))</f>
        <v/>
      </c>
      <c r="I23" s="58"/>
      <c r="J23" s="45"/>
      <c r="K23" s="63"/>
      <c r="L23" s="46" t="s">
        <v>17</v>
      </c>
      <c r="M23" s="47"/>
      <c r="N23" s="41" t="str">
        <f>IF(O23="","",(IF(((VLOOKUP(O23,Formeln!$A$2:$D$5,4,FALSE))&gt;M23),"!!!","")))</f>
        <v/>
      </c>
      <c r="O23" s="48"/>
      <c r="P23" s="22"/>
      <c r="Q23" s="48"/>
      <c r="R23" s="22"/>
    </row>
    <row r="24" spans="1:18" s="20" customFormat="1" ht="11.25">
      <c r="B24" s="21"/>
      <c r="C24" s="21"/>
      <c r="D24" s="21"/>
      <c r="E24" s="21"/>
      <c r="G24" s="22"/>
      <c r="H24" s="22"/>
      <c r="I24" s="22"/>
      <c r="J24" s="22"/>
      <c r="K24" s="63"/>
      <c r="L24" s="39"/>
      <c r="M24" s="40"/>
      <c r="N24" s="23"/>
      <c r="O24" s="22"/>
      <c r="P24" s="22"/>
      <c r="Q24" s="22"/>
      <c r="R24" s="22"/>
    </row>
    <row r="25" spans="1:18" s="20" customFormat="1" ht="11.25">
      <c r="B25" s="21"/>
      <c r="C25" s="21"/>
      <c r="D25" s="21"/>
      <c r="E25" s="21"/>
      <c r="G25" s="34" t="str">
        <f>HLOOKUP(I4,Übersetzung,4,FALSE)</f>
        <v>Bohrhöhe (Bohrhöhe Innenlade)</v>
      </c>
      <c r="H25" s="34"/>
      <c r="I25" s="34"/>
      <c r="J25" s="34"/>
      <c r="K25" s="34"/>
      <c r="L25" s="34"/>
      <c r="M25" s="22"/>
      <c r="N25" s="23"/>
      <c r="O25" s="22"/>
      <c r="P25" s="22"/>
      <c r="Q25" s="22"/>
      <c r="R25" s="42" t="str">
        <f>HLOOKUP(I4,Übersetzung,11,FALSE)</f>
        <v>Alle Maße in Millimeter</v>
      </c>
    </row>
  </sheetData>
  <sheetProtection password="F6E7" sheet="1" objects="1" scenarios="1" selectLockedCells="1"/>
  <mergeCells count="4">
    <mergeCell ref="K11:K24"/>
    <mergeCell ref="G6:H6"/>
    <mergeCell ref="G8:H8"/>
    <mergeCell ref="G7:H7"/>
  </mergeCells>
  <dataValidations count="7">
    <dataValidation type="whole" allowBlank="1" showInputMessage="1" showErrorMessage="1" sqref="I7">
      <formula1>273</formula1>
      <formula2>1000</formula2>
    </dataValidation>
    <dataValidation type="whole" allowBlank="1" showInputMessage="1" showErrorMessage="1" sqref="M12 M14">
      <formula1>0</formula1>
      <formula2>5</formula2>
    </dataValidation>
    <dataValidation type="list" allowBlank="1" showInputMessage="1" showErrorMessage="1" sqref="O15 O13">
      <formula1>$A$2:$A$6</formula1>
    </dataValidation>
    <dataValidation type="whole" allowBlank="1" showInputMessage="1" showErrorMessage="1" sqref="M13 M15">
      <formula1>96</formula1>
      <formula2>780</formula2>
    </dataValidation>
    <dataValidation type="list" errorStyle="information" allowBlank="1" showInputMessage="1" showErrorMessage="1" errorTitle="Ungültiger Wert / invalid value" error="Sprache auswählen_x000a_Choose language" sqref="I4">
      <formula1>Sprache</formula1>
    </dataValidation>
    <dataValidation type="whole" allowBlank="1" showInputMessage="1" showErrorMessage="1" errorTitle="Nicht möglich! / Invalid value!" error="96 - 780 mm" sqref="M17 M19 M21 M23">
      <formula1>96</formula1>
      <formula2>780</formula2>
    </dataValidation>
    <dataValidation type="whole" allowBlank="1" showErrorMessage="1" errorTitle="Nicht möglich! / Invalid value!" error="0 - 5 mm" sqref="M24 M22 M20 M18 M16">
      <formula1>0</formula1>
      <formula2>5</formula2>
    </dataValidation>
  </dataValidations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errorTitle="Nicht möglich! / Invalid value!" error="Aus Dropdown-Feld wählen / Take drop-down box">
          <x14:formula1>
            <xm:f>Formeln!$B$13:$B$16</xm:f>
          </x14:formula1>
          <xm:sqref>O23</xm:sqref>
        </x14:dataValidation>
        <x14:dataValidation type="list" errorStyle="information" allowBlank="1" showInputMessage="1" showErrorMessage="1" errorTitle="Nicht möglich! / Invalid value!" error="Aus Dropdown-Feld wählen / Take drop-down box">
          <x14:formula1>
            <xm:f>Formeln!$A$7:$A$9</xm:f>
          </x14:formula1>
          <xm:sqref>I6</xm:sqref>
        </x14:dataValidation>
        <x14:dataValidation type="list" allowBlank="1" showInputMessage="1" showErrorMessage="1" errorTitle="Nicht möglich! / Invalid value!" error="Aus Dropdown-Feld wählen / Take drop-down box">
          <x14:formula1>
            <xm:f>Formeln!$D$17:$F$17</xm:f>
          </x14:formula1>
          <xm:sqref>Q23</xm:sqref>
        </x14:dataValidation>
        <x14:dataValidation type="list" allowBlank="1" showInputMessage="1" showErrorMessage="1" errorTitle="Nicht möglich! /  Invalid value!" error="Aus Dropdown-Feld wählen / Take drop-down box">
          <x14:formula1>
            <xm:f>Formeln!$B$20:$B$23</xm:f>
          </x14:formula1>
          <xm:sqref>O21</xm:sqref>
        </x14:dataValidation>
        <x14:dataValidation type="list" allowBlank="1" showInputMessage="1" showErrorMessage="1" errorTitle="Nicht möglich! / Invalid value!" error="Aus Dropdown-Feld wählen / Take drop-down box">
          <x14:formula1>
            <xm:f>Formeln!$D$24:$F$24</xm:f>
          </x14:formula1>
          <xm:sqref>Q21</xm:sqref>
        </x14:dataValidation>
        <x14:dataValidation type="list" allowBlank="1" showInputMessage="1" showErrorMessage="1" errorTitle="Nicht möglich! / Invalid value!" error="Aus Dropdown-Feld wählen / Take drop-down box">
          <x14:formula1>
            <xm:f>Formeln!$B$27:$B$30</xm:f>
          </x14:formula1>
          <xm:sqref>O19</xm:sqref>
        </x14:dataValidation>
        <x14:dataValidation type="list" allowBlank="1" showInputMessage="1" showErrorMessage="1" errorTitle="Nicht möglich! / Invalid value!" error="Aus Dropdown-Feld wählen / Take drop-down box">
          <x14:formula1>
            <xm:f>Formeln!$D$31:$F$31</xm:f>
          </x14:formula1>
          <xm:sqref>Q19</xm:sqref>
        </x14:dataValidation>
        <x14:dataValidation type="list" allowBlank="1" showInputMessage="1" showErrorMessage="1" errorTitle="Nicht möglich! / Invalid value!" error="Aus Dropdown-Feld wählen / Take drop-down box">
          <x14:formula1>
            <xm:f>Formeln!$B$34:$B$37</xm:f>
          </x14:formula1>
          <xm:sqref>O17</xm:sqref>
        </x14:dataValidation>
        <x14:dataValidation type="list" allowBlank="1" showInputMessage="1" showErrorMessage="1" errorTitle="Nicht möglich! / Invalid value!" error="Aus Dropdown-Feld wählen / Take drop-down box">
          <x14:formula1>
            <xm:f>Formeln!$E$38:$F$38</xm:f>
          </x14:formula1>
          <xm:sqref>Q17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>
      <selection activeCell="E38" sqref="E38"/>
    </sheetView>
  </sheetViews>
  <sheetFormatPr baseColWidth="10" defaultRowHeight="15"/>
  <cols>
    <col min="1" max="2" width="14.28515625" bestFit="1" customWidth="1"/>
    <col min="4" max="4" width="17.7109375" bestFit="1" customWidth="1"/>
    <col min="5" max="5" width="32.28515625" customWidth="1"/>
    <col min="6" max="6" width="33.85546875" bestFit="1" customWidth="1"/>
    <col min="10" max="10" width="14.28515625" bestFit="1" customWidth="1"/>
  </cols>
  <sheetData>
    <row r="1" spans="1:6">
      <c r="A1" s="13"/>
      <c r="B1" s="13"/>
      <c r="C1" s="13"/>
      <c r="D1" s="13" t="s">
        <v>5</v>
      </c>
      <c r="E1" s="13" t="s">
        <v>6</v>
      </c>
      <c r="F1" s="13" t="s">
        <v>10</v>
      </c>
    </row>
    <row r="2" spans="1:6">
      <c r="A2" s="14" t="s">
        <v>0</v>
      </c>
      <c r="B2" s="13">
        <v>37</v>
      </c>
      <c r="C2" s="13">
        <v>86</v>
      </c>
      <c r="D2" s="13">
        <v>96</v>
      </c>
      <c r="E2" s="13">
        <v>201</v>
      </c>
      <c r="F2" s="13">
        <v>128</v>
      </c>
    </row>
    <row r="3" spans="1:6">
      <c r="A3" s="14" t="s">
        <v>1</v>
      </c>
      <c r="B3" s="13">
        <v>37</v>
      </c>
      <c r="C3" s="13">
        <v>112</v>
      </c>
      <c r="D3" s="13">
        <v>122</v>
      </c>
      <c r="E3" s="13">
        <v>391</v>
      </c>
      <c r="F3" s="13">
        <v>154</v>
      </c>
    </row>
    <row r="4" spans="1:6">
      <c r="A4" s="14" t="s">
        <v>2</v>
      </c>
      <c r="B4" s="13">
        <v>37</v>
      </c>
      <c r="C4" s="13">
        <v>144</v>
      </c>
      <c r="D4" s="13">
        <v>154</v>
      </c>
      <c r="E4" s="13">
        <v>391</v>
      </c>
      <c r="F4" s="13">
        <v>186</v>
      </c>
    </row>
    <row r="5" spans="1:6">
      <c r="A5" s="14" t="s">
        <v>3</v>
      </c>
      <c r="B5" s="13">
        <v>37</v>
      </c>
      <c r="C5" s="13">
        <v>208</v>
      </c>
      <c r="D5" s="13">
        <v>218</v>
      </c>
      <c r="E5" s="13">
        <v>781</v>
      </c>
      <c r="F5" s="13">
        <v>250</v>
      </c>
    </row>
    <row r="7" spans="1:6">
      <c r="A7">
        <v>16</v>
      </c>
    </row>
    <row r="8" spans="1:6">
      <c r="A8">
        <v>18</v>
      </c>
    </row>
    <row r="9" spans="1:6">
      <c r="A9">
        <v>19</v>
      </c>
    </row>
    <row r="11" spans="1:6" ht="15.75" thickBot="1"/>
    <row r="12" spans="1:6">
      <c r="A12" s="1" t="s">
        <v>7</v>
      </c>
      <c r="B12" s="2"/>
      <c r="C12" s="2"/>
      <c r="D12" s="2"/>
      <c r="E12" s="2" t="s">
        <v>8</v>
      </c>
      <c r="F12" s="3" t="s">
        <v>9</v>
      </c>
    </row>
    <row r="13" spans="1:6">
      <c r="A13" s="4">
        <f>VIONARO!M23</f>
        <v>0</v>
      </c>
      <c r="B13" s="5" t="str">
        <f>IF(AND(($A$13&gt;$D$2),($A$13&lt;$E$2)),$A$2,"")</f>
        <v/>
      </c>
      <c r="C13" s="5" t="str">
        <f>IF(B13="","",VLOOKUP(B13,$A$2:$E$5,4,FALSE))</f>
        <v/>
      </c>
      <c r="D13" s="5" t="str">
        <f>IF(C13="","",$A$13-C13)</f>
        <v/>
      </c>
      <c r="E13" s="6" t="str">
        <f>IF(D13="","",IF(D13&gt;122,"x","0"))</f>
        <v/>
      </c>
      <c r="F13" s="7" t="str">
        <f>IF(D13="","",IF(D13&gt;218,"x","0"))</f>
        <v/>
      </c>
    </row>
    <row r="14" spans="1:6">
      <c r="A14" s="4"/>
      <c r="B14" s="5" t="str">
        <f>IF(AND(($A$13&gt;$D$3),($A$13&lt;$E$3)),$A$3,"")</f>
        <v/>
      </c>
      <c r="C14" s="5" t="str">
        <f t="shared" ref="C14:C16" si="0">IF(B14="","",VLOOKUP(B14,$A$2:$E$5,4,FALSE))</f>
        <v/>
      </c>
      <c r="D14" s="5" t="str">
        <f t="shared" ref="D14:D16" si="1">IF(C14="","",$A$13-C14)</f>
        <v/>
      </c>
      <c r="E14" s="6" t="str">
        <f t="shared" ref="E14:E16" si="2">IF(D14="","",IF(D14&gt;122,"x","0"))</f>
        <v/>
      </c>
      <c r="F14" s="7" t="str">
        <f t="shared" ref="F14:F16" si="3">IF(D14="","",IF(D14&gt;218,"x","0"))</f>
        <v/>
      </c>
    </row>
    <row r="15" spans="1:6">
      <c r="A15" s="4"/>
      <c r="B15" s="5" t="str">
        <f>IF(AND(($A$13&gt;$D$4),($A$13&lt;$E$4)),$A$4,"")</f>
        <v/>
      </c>
      <c r="C15" s="5" t="str">
        <f t="shared" si="0"/>
        <v/>
      </c>
      <c r="D15" s="5" t="str">
        <f t="shared" si="1"/>
        <v/>
      </c>
      <c r="E15" s="6" t="str">
        <f t="shared" si="2"/>
        <v/>
      </c>
      <c r="F15" s="7" t="str">
        <f t="shared" si="3"/>
        <v/>
      </c>
    </row>
    <row r="16" spans="1:6">
      <c r="A16" s="4"/>
      <c r="B16" s="5" t="str">
        <f>IF(AND(($A$13&gt;$D$5),($A$13&lt;$E$5)),$A$5,"")</f>
        <v/>
      </c>
      <c r="C16" s="5" t="str">
        <f t="shared" si="0"/>
        <v/>
      </c>
      <c r="D16" s="5" t="str">
        <f t="shared" si="1"/>
        <v/>
      </c>
      <c r="E16" s="6" t="str">
        <f t="shared" si="2"/>
        <v/>
      </c>
      <c r="F16" s="7" t="str">
        <f t="shared" si="3"/>
        <v/>
      </c>
    </row>
    <row r="17" spans="1:6" ht="15.75" thickBot="1">
      <c r="A17" s="8"/>
      <c r="B17" s="9"/>
      <c r="C17" s="9"/>
      <c r="D17" s="9"/>
      <c r="E17" s="10" t="str">
        <f>IF(IF(VIONARO!O23="","",VLOOKUP(VIONARO!O23,Formeln!B13:F16,4,FALSE))="x","VIONARO H89","")</f>
        <v/>
      </c>
      <c r="F17" s="11" t="str">
        <f>IF(IF(VIONARO!O23="","",VLOOKUP(VIONARO!O23,Formeln!B13:F16,5,FALSE))="x","VIONARO H185","")</f>
        <v/>
      </c>
    </row>
    <row r="18" spans="1:6" ht="15.75" thickBot="1"/>
    <row r="19" spans="1:6">
      <c r="A19" s="1" t="s">
        <v>13</v>
      </c>
      <c r="B19" s="2"/>
      <c r="C19" s="2"/>
      <c r="D19" s="2"/>
      <c r="E19" s="2" t="s">
        <v>8</v>
      </c>
      <c r="F19" s="3" t="s">
        <v>9</v>
      </c>
    </row>
    <row r="20" spans="1:6">
      <c r="A20" s="4">
        <f>VIONARO!M21</f>
        <v>0</v>
      </c>
      <c r="B20" s="5" t="str">
        <f>IF(AND(($A$20&gt;$D$2),($A$20&lt;$E$2)),$A$2,"")</f>
        <v/>
      </c>
      <c r="C20" s="5" t="str">
        <f>IF(B20="","",VLOOKUP(B20,$A$2:$E$5,4,FALSE))</f>
        <v/>
      </c>
      <c r="D20" s="5" t="str">
        <f>IF(C20="","",$A$13-C20)</f>
        <v/>
      </c>
      <c r="E20" s="6" t="str">
        <f>IF(D20="","",IF(D20&gt;122,"x","0"))</f>
        <v/>
      </c>
      <c r="F20" s="7" t="str">
        <f>IF(D20="","",IF(D20&gt;218,"x","0"))</f>
        <v/>
      </c>
    </row>
    <row r="21" spans="1:6">
      <c r="A21" s="4"/>
      <c r="B21" s="5" t="str">
        <f>IF(AND(($A$20&gt;$D$3),($A$20&lt;$E$3)),$A$3,"")</f>
        <v/>
      </c>
      <c r="C21" s="5" t="str">
        <f t="shared" ref="C21:C23" si="4">IF(B21="","",VLOOKUP(B21,$A$2:$E$5,4,FALSE))</f>
        <v/>
      </c>
      <c r="D21" s="5" t="str">
        <f>IF(C21="","",$A$20-C21)</f>
        <v/>
      </c>
      <c r="E21" s="6" t="str">
        <f>IF(D21="","",IF(D21&gt;122,"x","0"))</f>
        <v/>
      </c>
      <c r="F21" s="7" t="str">
        <f t="shared" ref="F21:F23" si="5">IF(D21="","",IF(D21&gt;218,"x","0"))</f>
        <v/>
      </c>
    </row>
    <row r="22" spans="1:6">
      <c r="A22" s="4"/>
      <c r="B22" s="5" t="str">
        <f>IF(AND(($A$20&gt;$D$4),($A$20&lt;$E$4)),$A$4,"")</f>
        <v/>
      </c>
      <c r="C22" s="5" t="str">
        <f t="shared" si="4"/>
        <v/>
      </c>
      <c r="D22" s="5" t="str">
        <f>IF(C22="","",$A$20-C22)</f>
        <v/>
      </c>
      <c r="E22" s="6" t="str">
        <f t="shared" ref="E22:E23" si="6">IF(D22="","",IF(D22&gt;122,"x","0"))</f>
        <v/>
      </c>
      <c r="F22" s="7" t="str">
        <f t="shared" si="5"/>
        <v/>
      </c>
    </row>
    <row r="23" spans="1:6">
      <c r="A23" s="4"/>
      <c r="B23" s="5" t="str">
        <f>IF(AND(($A$20&gt;$D$5),($A$20&lt;$E$5)),$A$5,"")</f>
        <v/>
      </c>
      <c r="C23" s="5" t="str">
        <f t="shared" si="4"/>
        <v/>
      </c>
      <c r="D23" s="5" t="str">
        <f>IF(C23="","",$A$20-C23)</f>
        <v/>
      </c>
      <c r="E23" s="6" t="str">
        <f t="shared" si="6"/>
        <v/>
      </c>
      <c r="F23" s="7" t="str">
        <f t="shared" si="5"/>
        <v/>
      </c>
    </row>
    <row r="24" spans="1:6" ht="15.75" thickBot="1">
      <c r="A24" s="8"/>
      <c r="B24" s="9"/>
      <c r="C24" s="9"/>
      <c r="D24" s="9"/>
      <c r="E24" s="10" t="str">
        <f>IF(IF(VIONARO!O21="","",VLOOKUP(VIONARO!O21,Formeln!B20:F23,4,FALSE))="x","VIONARO H89","")</f>
        <v/>
      </c>
      <c r="F24" s="11" t="str">
        <f>IF(IF(VIONARO!O21="","",VLOOKUP(VIONARO!O21,Formeln!B20:F23,5,FALSE))="x","VIONARO H185","")</f>
        <v/>
      </c>
    </row>
    <row r="25" spans="1:6" ht="15.75" thickBot="1"/>
    <row r="26" spans="1:6">
      <c r="A26" s="1" t="s">
        <v>14</v>
      </c>
      <c r="B26" s="2"/>
      <c r="C26" s="2"/>
      <c r="D26" s="2"/>
      <c r="E26" s="2" t="s">
        <v>8</v>
      </c>
      <c r="F26" s="3" t="s">
        <v>9</v>
      </c>
    </row>
    <row r="27" spans="1:6">
      <c r="A27" s="4">
        <f>VIONARO!M19</f>
        <v>0</v>
      </c>
      <c r="B27" s="5" t="str">
        <f>IF(AND(($A$27&gt;$D$2),($A$27&lt;$E$2)),$A$2,"")</f>
        <v/>
      </c>
      <c r="C27" s="5" t="str">
        <f>IF(B27="","",VLOOKUP(B27,$A$2:$E$5,4,FALSE))</f>
        <v/>
      </c>
      <c r="D27" s="5" t="str">
        <f>IF(C27="","",$A$27-C27)</f>
        <v/>
      </c>
      <c r="E27" s="6" t="str">
        <f>IF(D27="","",IF(D27&gt;122,"x","0"))</f>
        <v/>
      </c>
      <c r="F27" s="7" t="str">
        <f>IF(D27="","",IF(D27&gt;218,"x","0"))</f>
        <v/>
      </c>
    </row>
    <row r="28" spans="1:6">
      <c r="A28" s="4"/>
      <c r="B28" s="5" t="str">
        <f>IF(AND(($A$27&gt;$D$3),($A$27&lt;$E$3)),$A$3,"")</f>
        <v/>
      </c>
      <c r="C28" s="5" t="str">
        <f>IF(B28="","",VLOOKUP(B28,$A$2:$E$5,4,FALSE))</f>
        <v/>
      </c>
      <c r="D28" s="5" t="str">
        <f>IF(C28="","",$A$27-C28)</f>
        <v/>
      </c>
      <c r="E28" s="6" t="str">
        <f>IF(D28="","",IF(D28&gt;122,"x","0"))</f>
        <v/>
      </c>
      <c r="F28" s="7" t="str">
        <f t="shared" ref="F28:F30" si="7">IF(D28="","",IF(D28&gt;218,"x","0"))</f>
        <v/>
      </c>
    </row>
    <row r="29" spans="1:6">
      <c r="A29" s="4"/>
      <c r="B29" s="5" t="str">
        <f>IF(AND(($A$27&gt;$D$4),($A$27&lt;$E$4)),$A$4,"")</f>
        <v/>
      </c>
      <c r="C29" s="5" t="str">
        <f t="shared" ref="C29:C30" si="8">IF(B29="","",VLOOKUP(B29,$A$2:$E$5,4,FALSE))</f>
        <v/>
      </c>
      <c r="D29" s="5" t="str">
        <f>IF(C29="","",$A$27-C29)</f>
        <v/>
      </c>
      <c r="E29" s="6" t="str">
        <f t="shared" ref="E29:E30" si="9">IF(D29="","",IF(D29&gt;122,"x","0"))</f>
        <v/>
      </c>
      <c r="F29" s="7" t="str">
        <f t="shared" si="7"/>
        <v/>
      </c>
    </row>
    <row r="30" spans="1:6">
      <c r="A30" s="4"/>
      <c r="B30" s="5" t="str">
        <f>IF(AND(($A$27&gt;$D$5),($A$27&lt;$E$5)),$A$5,"")</f>
        <v/>
      </c>
      <c r="C30" s="5" t="str">
        <f t="shared" si="8"/>
        <v/>
      </c>
      <c r="D30" s="5" t="str">
        <f>IF(C30="","",$A$27-C30)</f>
        <v/>
      </c>
      <c r="E30" s="6" t="str">
        <f t="shared" si="9"/>
        <v/>
      </c>
      <c r="F30" s="7" t="str">
        <f t="shared" si="7"/>
        <v/>
      </c>
    </row>
    <row r="31" spans="1:6" ht="15.75" thickBot="1">
      <c r="A31" s="8"/>
      <c r="B31" s="9"/>
      <c r="C31" s="9"/>
      <c r="D31" s="9"/>
      <c r="E31" s="10" t="str">
        <f>IF(IF(VIONARO!O19="","",VLOOKUP(VIONARO!O19,Formeln!B27:F30,4,FALSE))="x","VIONARO H89","")</f>
        <v/>
      </c>
      <c r="F31" s="11" t="str">
        <f>IF(IF(VIONARO!O19="","",VLOOKUP(VIONARO!O19,Formeln!B27:F30,5,FALSE))="x","VIONARO H185","")</f>
        <v/>
      </c>
    </row>
    <row r="32" spans="1:6" ht="15.75" thickBot="1"/>
    <row r="33" spans="1:6">
      <c r="A33" s="1" t="s">
        <v>15</v>
      </c>
      <c r="B33" s="2"/>
      <c r="C33" s="2"/>
      <c r="D33" s="2"/>
      <c r="E33" s="2" t="s">
        <v>8</v>
      </c>
      <c r="F33" s="3" t="s">
        <v>9</v>
      </c>
    </row>
    <row r="34" spans="1:6">
      <c r="A34" s="4">
        <f>VIONARO!M17</f>
        <v>0</v>
      </c>
      <c r="B34" s="5" t="str">
        <f>IF(AND(($A$34&gt;$D$2),($A$34&lt;$E$2)),$A$2,"")</f>
        <v/>
      </c>
      <c r="C34" s="5" t="str">
        <f>IF(B34="","",VLOOKUP(B34,$A$2:$E$5,4,FALSE))</f>
        <v/>
      </c>
      <c r="D34" s="5" t="str">
        <f>IF(C34="","",$A$34-C34)</f>
        <v/>
      </c>
      <c r="E34" s="6" t="str">
        <f>IF(D34="","",IF(D34&gt;122,"x","0"))</f>
        <v/>
      </c>
      <c r="F34" s="7" t="str">
        <f>IF(D34="","",IF(D34&gt;218,"x","0"))</f>
        <v/>
      </c>
    </row>
    <row r="35" spans="1:6">
      <c r="A35" s="4"/>
      <c r="B35" s="5" t="str">
        <f>IF(AND(($A$34&gt;$D$3),($A$34&lt;$E$3)),$A$3,"")</f>
        <v/>
      </c>
      <c r="C35" s="5" t="str">
        <f>IF(B35="","",VLOOKUP(B35,$A$2:$E$5,4,FALSE))</f>
        <v/>
      </c>
      <c r="D35" s="5" t="str">
        <f>IF(C35="","",$A$34-C35)</f>
        <v/>
      </c>
      <c r="E35" s="6" t="str">
        <f>IF(D35="","",IF(D35&gt;122,"x","0"))</f>
        <v/>
      </c>
      <c r="F35" s="7" t="str">
        <f t="shared" ref="F35:F37" si="10">IF(D35="","",IF(D35&gt;218,"x","0"))</f>
        <v/>
      </c>
    </row>
    <row r="36" spans="1:6">
      <c r="A36" s="4"/>
      <c r="B36" s="5" t="str">
        <f>IF(AND(($A$34&gt;$D$4),($A$34&lt;$E$4)),$A$4,"")</f>
        <v/>
      </c>
      <c r="C36" s="5" t="str">
        <f>IF(B36="","",VLOOKUP(B36,$A$2:$E$5,4,FALSE))</f>
        <v/>
      </c>
      <c r="D36" s="5" t="str">
        <f>IF(C36="","",$A$34-C36)</f>
        <v/>
      </c>
      <c r="E36" s="6" t="str">
        <f t="shared" ref="E36:E37" si="11">IF(D36="","",IF(D36&gt;122,"x","0"))</f>
        <v/>
      </c>
      <c r="F36" s="7" t="str">
        <f t="shared" si="10"/>
        <v/>
      </c>
    </row>
    <row r="37" spans="1:6">
      <c r="A37" s="4"/>
      <c r="B37" s="5" t="str">
        <f>IF(AND(($A$34&gt;$D$5),($A$34&lt;$E$5)),$A$5,"")</f>
        <v/>
      </c>
      <c r="C37" s="5" t="str">
        <f>IF(B37="","",VLOOKUP(B37,$A$2:$E$5,4,FALSE))</f>
        <v/>
      </c>
      <c r="D37" s="5" t="str">
        <f>IF(C37="","",$A$34-C37)</f>
        <v/>
      </c>
      <c r="E37" s="6" t="str">
        <f t="shared" si="11"/>
        <v/>
      </c>
      <c r="F37" s="7" t="str">
        <f t="shared" si="10"/>
        <v/>
      </c>
    </row>
    <row r="38" spans="1:6" ht="15.75" thickBot="1">
      <c r="A38" s="8"/>
      <c r="B38" s="9"/>
      <c r="C38" s="9"/>
      <c r="D38" s="9"/>
      <c r="E38" s="10" t="str">
        <f>IF(IF(VIONARO!O17="","",VLOOKUP(VIONARO!O17,Formeln!B34:F37,4,FALSE))="x","VIONARO H89","")</f>
        <v/>
      </c>
      <c r="F38" s="11" t="str">
        <f>IF(IF(VIONARO!O17="","",VLOOKUP(VIONARO!O17,Formeln!B34:F37,5,FALSE))="x","VIONARO H185","")</f>
        <v/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"/>
  <sheetViews>
    <sheetView workbookViewId="0">
      <selection activeCell="E23" sqref="E23"/>
    </sheetView>
  </sheetViews>
  <sheetFormatPr baseColWidth="10" defaultRowHeight="15"/>
  <cols>
    <col min="1" max="1" width="30.7109375" customWidth="1"/>
    <col min="2" max="2" width="29.7109375" customWidth="1"/>
    <col min="3" max="6" width="30.7109375" customWidth="1"/>
    <col min="7" max="7" width="32.85546875" customWidth="1"/>
    <col min="8" max="8" width="30.7109375" customWidth="1"/>
  </cols>
  <sheetData>
    <row r="2" spans="1:8">
      <c r="A2" t="s">
        <v>21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</row>
    <row r="3" spans="1:8">
      <c r="A3" t="s">
        <v>90</v>
      </c>
      <c r="B3" t="s">
        <v>33</v>
      </c>
      <c r="C3" s="12" t="s">
        <v>81</v>
      </c>
      <c r="D3" t="s">
        <v>62</v>
      </c>
      <c r="E3" t="s">
        <v>56</v>
      </c>
      <c r="F3" t="s">
        <v>47</v>
      </c>
      <c r="G3" t="s">
        <v>70</v>
      </c>
      <c r="H3" t="s">
        <v>42</v>
      </c>
    </row>
    <row r="4" spans="1:8">
      <c r="A4" t="s">
        <v>91</v>
      </c>
      <c r="B4" t="s">
        <v>29</v>
      </c>
      <c r="C4" s="12" t="s">
        <v>79</v>
      </c>
      <c r="D4" t="s">
        <v>63</v>
      </c>
      <c r="E4" t="s">
        <v>57</v>
      </c>
      <c r="F4" t="s">
        <v>48</v>
      </c>
      <c r="G4" t="s">
        <v>71</v>
      </c>
      <c r="H4" t="s">
        <v>37</v>
      </c>
    </row>
    <row r="5" spans="1:8">
      <c r="A5" t="s">
        <v>16</v>
      </c>
      <c r="B5" t="s">
        <v>46</v>
      </c>
      <c r="C5" s="12" t="s">
        <v>82</v>
      </c>
      <c r="D5" t="s">
        <v>64</v>
      </c>
      <c r="E5" t="s">
        <v>58</v>
      </c>
      <c r="F5" t="s">
        <v>49</v>
      </c>
      <c r="G5" t="s">
        <v>78</v>
      </c>
      <c r="H5" t="s">
        <v>38</v>
      </c>
    </row>
    <row r="6" spans="1:8">
      <c r="A6" t="s">
        <v>92</v>
      </c>
      <c r="B6" t="s">
        <v>30</v>
      </c>
      <c r="C6" s="12" t="s">
        <v>59</v>
      </c>
      <c r="D6" t="s">
        <v>65</v>
      </c>
      <c r="E6" t="s">
        <v>59</v>
      </c>
      <c r="F6" t="s">
        <v>55</v>
      </c>
      <c r="G6" t="s">
        <v>72</v>
      </c>
      <c r="H6" t="s">
        <v>39</v>
      </c>
    </row>
    <row r="7" spans="1:8">
      <c r="A7" t="s">
        <v>93</v>
      </c>
      <c r="B7" t="s">
        <v>31</v>
      </c>
      <c r="C7" s="12" t="s">
        <v>40</v>
      </c>
      <c r="D7" t="s">
        <v>66</v>
      </c>
      <c r="E7" t="s">
        <v>40</v>
      </c>
      <c r="F7" t="s">
        <v>50</v>
      </c>
      <c r="G7" t="s">
        <v>73</v>
      </c>
      <c r="H7" t="s">
        <v>40</v>
      </c>
    </row>
    <row r="8" spans="1:8">
      <c r="A8" t="s">
        <v>51</v>
      </c>
      <c r="B8" t="s">
        <v>32</v>
      </c>
      <c r="C8" s="12" t="s">
        <v>80</v>
      </c>
      <c r="D8" t="s">
        <v>68</v>
      </c>
      <c r="E8" t="s">
        <v>60</v>
      </c>
      <c r="F8" t="s">
        <v>51</v>
      </c>
      <c r="G8" t="s">
        <v>74</v>
      </c>
      <c r="H8" t="s">
        <v>41</v>
      </c>
    </row>
    <row r="9" spans="1:8">
      <c r="A9" t="s">
        <v>94</v>
      </c>
      <c r="B9" t="s">
        <v>34</v>
      </c>
      <c r="C9" s="12" t="s">
        <v>83</v>
      </c>
      <c r="D9" t="s">
        <v>67</v>
      </c>
      <c r="E9" t="s">
        <v>86</v>
      </c>
      <c r="F9" t="s">
        <v>52</v>
      </c>
      <c r="G9" t="s">
        <v>75</v>
      </c>
      <c r="H9" t="s">
        <v>43</v>
      </c>
    </row>
    <row r="10" spans="1:8">
      <c r="A10" t="s">
        <v>95</v>
      </c>
      <c r="B10" t="s">
        <v>35</v>
      </c>
      <c r="C10" s="12" t="s">
        <v>84</v>
      </c>
      <c r="D10" t="s">
        <v>61</v>
      </c>
      <c r="E10" t="s">
        <v>87</v>
      </c>
      <c r="F10" t="s">
        <v>53</v>
      </c>
      <c r="G10" t="s">
        <v>76</v>
      </c>
      <c r="H10" t="s">
        <v>44</v>
      </c>
    </row>
    <row r="11" spans="1:8">
      <c r="A11" t="s">
        <v>96</v>
      </c>
      <c r="B11" t="s">
        <v>36</v>
      </c>
      <c r="C11" s="12" t="s">
        <v>85</v>
      </c>
      <c r="D11" t="s">
        <v>69</v>
      </c>
      <c r="E11" t="s">
        <v>88</v>
      </c>
      <c r="F11" t="s">
        <v>54</v>
      </c>
      <c r="G11" t="s">
        <v>77</v>
      </c>
      <c r="H11" t="s">
        <v>45</v>
      </c>
    </row>
    <row r="12" spans="1:8">
      <c r="A12" t="s">
        <v>97</v>
      </c>
      <c r="B12" t="s">
        <v>98</v>
      </c>
      <c r="C12" t="s">
        <v>100</v>
      </c>
      <c r="D12" t="s">
        <v>99</v>
      </c>
      <c r="E12" t="s">
        <v>101</v>
      </c>
      <c r="F12" t="s">
        <v>102</v>
      </c>
      <c r="G12" t="s">
        <v>103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</vt:i4>
      </vt:variant>
    </vt:vector>
  </HeadingPairs>
  <TitlesOfParts>
    <vt:vector size="6" baseType="lpstr">
      <vt:lpstr>VIONARO</vt:lpstr>
      <vt:lpstr>Formeln</vt:lpstr>
      <vt:lpstr>Sprachen</vt:lpstr>
      <vt:lpstr>Tabelle1</vt:lpstr>
      <vt:lpstr>Sprache</vt:lpstr>
      <vt:lpstr>Übersetzung</vt:lpstr>
    </vt:vector>
  </TitlesOfParts>
  <Company>Grass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Barth Guillaume;Jeni Sarah</dc:creator>
  <cp:lastModifiedBy>Jeni Sarah</cp:lastModifiedBy>
  <dcterms:created xsi:type="dcterms:W3CDTF">2015-02-24T13:21:41Z</dcterms:created>
  <dcterms:modified xsi:type="dcterms:W3CDTF">2015-04-21T07:51:25Z</dcterms:modified>
</cp:coreProperties>
</file>